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ataukset\"/>
    </mc:Choice>
  </mc:AlternateContent>
  <bookViews>
    <workbookView xWindow="0" yWindow="0" windowWidth="21570" windowHeight="9345" firstSheet="4" activeTab="12"/>
  </bookViews>
  <sheets>
    <sheet name="pros_lisä" sheetId="4" r:id="rId1"/>
    <sheet name="pros1" sheetId="1" r:id="rId2"/>
    <sheet name="pros2" sheetId="2" r:id="rId3"/>
    <sheet name="mittay" sheetId="3" r:id="rId4"/>
    <sheet name="alkopit%" sheetId="5" r:id="rId5"/>
    <sheet name="ruokal" sheetId="6" r:id="rId6"/>
    <sheet name="ruoka2" sheetId="7" r:id="rId7"/>
    <sheet name="tuoteh esim" sheetId="8" r:id="rId8"/>
    <sheet name="palkkak" sheetId="9" r:id="rId9"/>
    <sheet name="tuloslask" sheetId="10" r:id="rId10"/>
    <sheet name="korot" sheetId="11" r:id="rId11"/>
    <sheet name="ind" sheetId="12" r:id="rId12"/>
    <sheet name="kertausta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3" l="1"/>
  <c r="B19" i="13"/>
  <c r="B17" i="13"/>
  <c r="C18" i="13"/>
  <c r="C9" i="13"/>
  <c r="B9" i="13"/>
  <c r="B7" i="13"/>
  <c r="C15" i="13"/>
  <c r="C5" i="13"/>
  <c r="C54" i="12"/>
  <c r="B48" i="12"/>
  <c r="B44" i="12"/>
  <c r="B49" i="12" s="1"/>
  <c r="C49" i="12" s="1"/>
  <c r="C53" i="12" s="1"/>
  <c r="B53" i="12" s="1"/>
  <c r="B54" i="12" s="1"/>
  <c r="D34" i="12"/>
  <c r="D32" i="12"/>
  <c r="C24" i="12"/>
  <c r="C22" i="12"/>
  <c r="D19" i="12"/>
  <c r="C19" i="12"/>
  <c r="C20" i="12"/>
  <c r="D15" i="12"/>
  <c r="D80" i="11"/>
  <c r="D79" i="11"/>
  <c r="D78" i="11"/>
  <c r="D77" i="11"/>
  <c r="D76" i="11"/>
  <c r="B80" i="11"/>
  <c r="C23" i="12" l="1"/>
  <c r="D23" i="12" s="1"/>
  <c r="B70" i="11" l="1"/>
  <c r="C70" i="11"/>
  <c r="E70" i="11" s="1"/>
  <c r="D70" i="11"/>
  <c r="E69" i="11"/>
  <c r="C69" i="11"/>
  <c r="E68" i="11"/>
  <c r="B69" i="11"/>
  <c r="C68" i="11"/>
  <c r="D69" i="11"/>
  <c r="D68" i="11"/>
  <c r="E59" i="11"/>
  <c r="B59" i="11"/>
  <c r="B50" i="11"/>
  <c r="B49" i="11"/>
  <c r="F45" i="11"/>
  <c r="F41" i="11"/>
  <c r="F40" i="11"/>
  <c r="B46" i="11"/>
  <c r="C46" i="11" s="1"/>
  <c r="B44" i="11"/>
  <c r="D44" i="11" s="1"/>
  <c r="B45" i="11" s="1"/>
  <c r="C44" i="11"/>
  <c r="C43" i="11"/>
  <c r="D43" i="11"/>
  <c r="B43" i="11"/>
  <c r="C42" i="11"/>
  <c r="D42" i="11"/>
  <c r="B42" i="11"/>
  <c r="C41" i="11"/>
  <c r="D41" i="11" s="1"/>
  <c r="B41" i="11"/>
  <c r="D40" i="11"/>
  <c r="C40" i="11"/>
  <c r="B28" i="11"/>
  <c r="B30" i="11"/>
  <c r="B32" i="11" s="1"/>
  <c r="B20" i="11"/>
  <c r="B19" i="11"/>
  <c r="B17" i="11"/>
  <c r="B16" i="11"/>
  <c r="E7" i="11"/>
  <c r="B10" i="11"/>
  <c r="B11" i="11" s="1"/>
  <c r="D46" i="11" l="1"/>
  <c r="C45" i="11"/>
  <c r="D45" i="11" s="1"/>
  <c r="B12" i="11"/>
  <c r="F14" i="10"/>
  <c r="F12" i="10"/>
  <c r="F7" i="10"/>
  <c r="D10" i="10"/>
  <c r="E7" i="10"/>
  <c r="C7" i="10"/>
  <c r="D7" i="10"/>
  <c r="D9" i="10" s="1"/>
  <c r="B4" i="10"/>
  <c r="B7" i="10" s="1"/>
  <c r="B9" i="10" s="1"/>
  <c r="H13" i="9"/>
  <c r="I8" i="9"/>
  <c r="H10" i="9" s="1"/>
  <c r="H8" i="9"/>
  <c r="H11" i="9"/>
  <c r="B8" i="9"/>
  <c r="B13" i="9"/>
  <c r="B3" i="9"/>
  <c r="B11" i="9"/>
  <c r="C8" i="9"/>
  <c r="B10" i="9" s="1"/>
  <c r="B12" i="9" s="1"/>
  <c r="C12" i="9" s="1"/>
  <c r="F9" i="10" l="1"/>
  <c r="B8" i="10"/>
  <c r="F8" i="10" s="1"/>
  <c r="G8" i="10" s="1"/>
  <c r="D11" i="10"/>
  <c r="E11" i="10" s="1"/>
  <c r="D8" i="10"/>
  <c r="B10" i="10"/>
  <c r="F10" i="10" s="1"/>
  <c r="H9" i="9"/>
  <c r="H12" i="9"/>
  <c r="B14" i="9"/>
  <c r="C14" i="9" s="1"/>
  <c r="B9" i="9"/>
  <c r="C7" i="8"/>
  <c r="B9" i="8"/>
  <c r="B8" i="8" s="1"/>
  <c r="C17" i="8"/>
  <c r="C20" i="8"/>
  <c r="B19" i="8" s="1"/>
  <c r="B28" i="8"/>
  <c r="C28" i="8"/>
  <c r="B30" i="8"/>
  <c r="G40" i="8"/>
  <c r="B40" i="8" s="1"/>
  <c r="B41" i="8" s="1"/>
  <c r="C41" i="8" s="1"/>
  <c r="B11" i="10" l="1"/>
  <c r="B11" i="8"/>
  <c r="C11" i="8" s="1"/>
  <c r="H14" i="9"/>
  <c r="I14" i="9" s="1"/>
  <c r="I12" i="9"/>
  <c r="B17" i="8"/>
  <c r="B18" i="8" s="1"/>
  <c r="B21" i="8"/>
  <c r="B8" i="7"/>
  <c r="B7" i="7" s="1"/>
  <c r="C7" i="7" s="1"/>
  <c r="C8" i="7" s="1"/>
  <c r="F11" i="7" s="1"/>
  <c r="D13" i="7"/>
  <c r="C18" i="7"/>
  <c r="B16" i="7" s="1"/>
  <c r="B24" i="7"/>
  <c r="J28" i="7" s="1"/>
  <c r="F28" i="7"/>
  <c r="G28" i="7"/>
  <c r="K28" i="7"/>
  <c r="D37" i="6"/>
  <c r="E36" i="6"/>
  <c r="E37" i="6" s="1"/>
  <c r="F40" i="6" s="1"/>
  <c r="C21" i="6"/>
  <c r="B19" i="6" s="1"/>
  <c r="D35" i="6" l="1"/>
  <c r="F43" i="6" s="1"/>
  <c r="C11" i="10"/>
  <c r="F11" i="10"/>
  <c r="F44" i="6"/>
  <c r="F26" i="7"/>
  <c r="J26" i="7"/>
  <c r="I30" i="7" s="1"/>
  <c r="I31" i="7" s="1"/>
  <c r="B12" i="6"/>
  <c r="B10" i="6" s="1"/>
  <c r="C12" i="6"/>
  <c r="C7" i="5"/>
  <c r="G6" i="5"/>
  <c r="G5" i="5"/>
  <c r="G4" i="5"/>
  <c r="J43" i="3"/>
  <c r="F62" i="3" s="1"/>
  <c r="E58" i="3"/>
  <c r="E54" i="3"/>
  <c r="E55" i="3" s="1"/>
  <c r="E52" i="3"/>
  <c r="E49" i="3"/>
  <c r="E46" i="3"/>
  <c r="B4" i="4"/>
  <c r="B6" i="4" s="1"/>
  <c r="B10" i="4"/>
  <c r="E10" i="4"/>
  <c r="B14" i="4"/>
  <c r="B16" i="4" s="1"/>
  <c r="C16" i="4"/>
  <c r="C61" i="3" l="1"/>
  <c r="C62" i="3" s="1"/>
  <c r="F13" i="10"/>
  <c r="G11" i="10"/>
  <c r="G7" i="5"/>
  <c r="F11" i="5" s="1"/>
  <c r="F32" i="3"/>
  <c r="F28" i="3"/>
  <c r="F29" i="3"/>
  <c r="F26" i="3"/>
  <c r="B33" i="3" s="1"/>
  <c r="H22" i="3"/>
  <c r="H21" i="3"/>
  <c r="E16" i="3"/>
  <c r="G13" i="3"/>
  <c r="G10" i="3"/>
  <c r="G6" i="3"/>
  <c r="C48" i="2"/>
  <c r="B46" i="2" s="1"/>
  <c r="B43" i="2" s="1"/>
  <c r="C43" i="2"/>
  <c r="C6" i="2"/>
  <c r="B7" i="2"/>
  <c r="B10" i="2" s="1"/>
  <c r="C12" i="2"/>
  <c r="B16" i="2"/>
  <c r="C18" i="2"/>
  <c r="B21" i="2"/>
  <c r="B28" i="2"/>
  <c r="B34" i="2"/>
  <c r="B36" i="2" s="1"/>
  <c r="B37" i="2" s="1"/>
  <c r="A36" i="2"/>
  <c r="B41" i="2" l="1"/>
  <c r="G13" i="10"/>
  <c r="F20" i="10"/>
  <c r="G20" i="10" s="1"/>
  <c r="B12" i="2"/>
  <c r="B12" i="1"/>
  <c r="D18" i="1"/>
  <c r="B18" i="1" s="1"/>
  <c r="B8" i="1"/>
  <c r="D4" i="1"/>
</calcChain>
</file>

<file path=xl/sharedStrings.xml><?xml version="1.0" encoding="utf-8"?>
<sst xmlns="http://schemas.openxmlformats.org/spreadsheetml/2006/main" count="607" uniqueCount="303">
  <si>
    <t>Prosenttilaskut</t>
  </si>
  <si>
    <t>Esim1</t>
  </si>
  <si>
    <t>e</t>
  </si>
  <si>
    <t>%</t>
  </si>
  <si>
    <t>Esim2</t>
  </si>
  <si>
    <t xml:space="preserve">   %      33*100/200</t>
  </si>
  <si>
    <t>%     300*14/100</t>
  </si>
  <si>
    <t>Esim3: Mistä luvusta 45e on 77 prosenttia ?</t>
  </si>
  <si>
    <t>%    45*100/77</t>
  </si>
  <si>
    <t>Esim4:  Ainekulut ovat 5 e. Mikä on kate e, jos ainekulujen osuus on 35% ?</t>
  </si>
  <si>
    <t>ainekulut</t>
  </si>
  <si>
    <t>kate</t>
  </si>
  <si>
    <t>myyntihinta</t>
  </si>
  <si>
    <t>%    5*65/35</t>
  </si>
  <si>
    <t>Harjoitus1</t>
  </si>
  <si>
    <t>jos alennus% 12% ?</t>
  </si>
  <si>
    <t>Tuoteen alennettu hinta oli  152 e. Mikä on alkuperäinen hinta,</t>
  </si>
  <si>
    <t>%   38 636,36 *100/28</t>
  </si>
  <si>
    <t>Liikevaihto</t>
  </si>
  <si>
    <t>%     8500*100/22</t>
  </si>
  <si>
    <t>Kiinteät kulut</t>
  </si>
  <si>
    <t>Markkinointi</t>
  </si>
  <si>
    <t>Siivouskulu</t>
  </si>
  <si>
    <t>%    175000*100/15</t>
  </si>
  <si>
    <t>Kokonaiskulut</t>
  </si>
  <si>
    <t>Korotettu hinta</t>
  </si>
  <si>
    <t>%   2,30*100/32,70</t>
  </si>
  <si>
    <t xml:space="preserve"> +korotus</t>
  </si>
  <si>
    <t>%  35-2,30</t>
  </si>
  <si>
    <t>Alkup hinta</t>
  </si>
  <si>
    <t>2b</t>
  </si>
  <si>
    <t>%  35*100/112</t>
  </si>
  <si>
    <t>2a</t>
  </si>
  <si>
    <t>Alennettu hinta</t>
  </si>
  <si>
    <t xml:space="preserve">  -alennus</t>
  </si>
  <si>
    <r>
      <t xml:space="preserve">%  </t>
    </r>
    <r>
      <rPr>
        <sz val="11"/>
        <color theme="4" tint="-0.249977111117893"/>
        <rFont val="Calibri"/>
        <family val="2"/>
        <scheme val="minor"/>
      </rPr>
      <t xml:space="preserve"> 480*100/107</t>
    </r>
  </si>
  <si>
    <r>
      <t xml:space="preserve">%  </t>
    </r>
    <r>
      <rPr>
        <sz val="11"/>
        <color theme="4" tint="-0.249977111117893"/>
        <rFont val="Calibri"/>
        <family val="2"/>
        <scheme val="minor"/>
      </rPr>
      <t>456*100/95</t>
    </r>
  </si>
  <si>
    <t>Mittayksiköt</t>
  </si>
  <si>
    <t xml:space="preserve">Katkarapuja 270 gramman pakkaus maksaa 7,80 e. </t>
  </si>
  <si>
    <t>Paljonko maksaa ?</t>
  </si>
  <si>
    <t>a) 235 g</t>
  </si>
  <si>
    <t>b) 1 kg (kilohinta )</t>
  </si>
  <si>
    <t>c)  1269 cg</t>
  </si>
  <si>
    <t>d) paljonko saat rapuja 8,50 eurolla ?</t>
  </si>
  <si>
    <t>g</t>
  </si>
  <si>
    <t xml:space="preserve">  7,80 / 0,270kg = 28,89 e/kg</t>
  </si>
  <si>
    <t>Juoman kustannus</t>
  </si>
  <si>
    <t>Vodka</t>
  </si>
  <si>
    <t>cl</t>
  </si>
  <si>
    <t>Likööri</t>
  </si>
  <si>
    <t>Sprite</t>
  </si>
  <si>
    <t>L</t>
  </si>
  <si>
    <t xml:space="preserve"> pantti 10 c</t>
  </si>
  <si>
    <t>Laske ainekustannus</t>
  </si>
  <si>
    <t>sisus</t>
  </si>
  <si>
    <t>likööri</t>
  </si>
  <si>
    <r>
      <t xml:space="preserve">e    </t>
    </r>
    <r>
      <rPr>
        <sz val="11"/>
        <color theme="4" tint="-0.249977111117893"/>
        <rFont val="Calibri"/>
        <family val="2"/>
        <scheme val="minor"/>
      </rPr>
      <t>2*16,70/70</t>
    </r>
  </si>
  <si>
    <r>
      <t xml:space="preserve">e    </t>
    </r>
    <r>
      <rPr>
        <sz val="11"/>
        <color theme="4" tint="-0.249977111117893"/>
        <rFont val="Calibri"/>
        <family val="2"/>
        <scheme val="minor"/>
      </rPr>
      <t>2*18,10/50</t>
    </r>
  </si>
  <si>
    <t>e   15*0,8/100</t>
  </si>
  <si>
    <t>Yhteensä ainekulut</t>
  </si>
  <si>
    <t>Kevät</t>
  </si>
  <si>
    <t xml:space="preserve">  -vähennys</t>
  </si>
  <si>
    <t>Syys</t>
  </si>
  <si>
    <t>8 h 20 min</t>
  </si>
  <si>
    <t>ruokatauko</t>
  </si>
  <si>
    <t>h</t>
  </si>
  <si>
    <t>Koulupäivä</t>
  </si>
  <si>
    <t>min</t>
  </si>
  <si>
    <t>Maksettu</t>
  </si>
  <si>
    <t xml:space="preserve">  -palautus</t>
  </si>
  <si>
    <t>%    85,35 *100/1,5</t>
  </si>
  <si>
    <t>Ostot yht</t>
  </si>
  <si>
    <t>Esim 2    Booli</t>
  </si>
  <si>
    <t>dl</t>
  </si>
  <si>
    <t>Mansikoita</t>
  </si>
  <si>
    <t>e/kg</t>
  </si>
  <si>
    <t>pantti</t>
  </si>
  <si>
    <t>Esanssi</t>
  </si>
  <si>
    <t>ml</t>
  </si>
  <si>
    <t>Laske raaka-ainehinta</t>
  </si>
  <si>
    <t>Mansikat</t>
  </si>
  <si>
    <t xml:space="preserve"> = 0,150 kg * 2,50 e/kg</t>
  </si>
  <si>
    <t>Yhteensä</t>
  </si>
  <si>
    <t>Litrahinta</t>
  </si>
  <si>
    <t>Määrä yht</t>
  </si>
  <si>
    <t>yht</t>
  </si>
  <si>
    <t>Määrä L</t>
  </si>
  <si>
    <t>e/L</t>
  </si>
  <si>
    <t xml:space="preserve">Alkoholipitoisuus% </t>
  </si>
  <si>
    <t>Pitoisuus% =</t>
  </si>
  <si>
    <t xml:space="preserve"> Puhdas alkoholi / Neste yht * 100</t>
  </si>
  <si>
    <t>Puhdas alkoh</t>
  </si>
  <si>
    <t xml:space="preserve">   = 1,14 cl * 100 / 20 cl</t>
  </si>
  <si>
    <t>Ruokalaskut</t>
  </si>
  <si>
    <t xml:space="preserve">Esim 1  </t>
  </si>
  <si>
    <t>Asiakkaita</t>
  </si>
  <si>
    <t>kpl</t>
  </si>
  <si>
    <t>Annospaino</t>
  </si>
  <si>
    <t>Tuote</t>
  </si>
  <si>
    <t>Kirjolohi</t>
  </si>
  <si>
    <t>g     puhdistettu paino = käyttöpaino</t>
  </si>
  <si>
    <t>Painohäviö%</t>
  </si>
  <si>
    <t>Ostopaino</t>
  </si>
  <si>
    <t xml:space="preserve">  - painohäviö</t>
  </si>
  <si>
    <t>Käyttöpaino</t>
  </si>
  <si>
    <t xml:space="preserve">      kg</t>
  </si>
  <si>
    <t>%     5,1*100/65</t>
  </si>
  <si>
    <t>Paljonko pitää tilata, jos kuoret painaa 35% (PH%).</t>
  </si>
  <si>
    <t>Esim2. Tarvitaan 1,2 kg banaania hedelmäsalaattiin.</t>
  </si>
  <si>
    <t>Kuha</t>
  </si>
  <si>
    <t>Esim3.  Hinnat</t>
  </si>
  <si>
    <t>Ostohinta</t>
  </si>
  <si>
    <t>e/kg    yksikköhinta puhdistamatta</t>
  </si>
  <si>
    <t>Käyttöhinta</t>
  </si>
  <si>
    <t xml:space="preserve">  =  e/kg yksikköhinta puhdistettuna = todellinen kilohinta</t>
  </si>
  <si>
    <t>Ainehinta</t>
  </si>
  <si>
    <t xml:space="preserve">  = käytetyn määrän hinta</t>
  </si>
  <si>
    <t>Laske:</t>
  </si>
  <si>
    <t>b) käyttöhinta</t>
  </si>
  <si>
    <t>c) ainehinta</t>
  </si>
  <si>
    <t>a) ostopaino (kg)</t>
  </si>
  <si>
    <t>OP</t>
  </si>
  <si>
    <t xml:space="preserve">  -ph</t>
  </si>
  <si>
    <t>KP</t>
  </si>
  <si>
    <t>b)  KH = OH*100/KP%  =</t>
  </si>
  <si>
    <t xml:space="preserve">  16 e/kg * 100 / 70%  =</t>
  </si>
  <si>
    <t>c) Ainehinta = käytetyn määrän hinta</t>
  </si>
  <si>
    <t>OP x OH</t>
  </si>
  <si>
    <t xml:space="preserve"> tai</t>
  </si>
  <si>
    <t>KP x KH</t>
  </si>
  <si>
    <t xml:space="preserve">  = 5,357 kg * 16 e/kg = </t>
  </si>
  <si>
    <t xml:space="preserve">  = 3,750 kg * 22,86  e/kg = </t>
  </si>
  <si>
    <t>Raaka-aineen hinta</t>
  </si>
  <si>
    <t>Ero euroissa  (7,20 e/kg)</t>
  </si>
  <si>
    <t>kg</t>
  </si>
  <si>
    <t>Ero ostopainossa (tilataan liikaa)</t>
  </si>
  <si>
    <t>Todettu painohäviö</t>
  </si>
  <si>
    <t>Painohäviö oikea</t>
  </si>
  <si>
    <t>Todettu annospaino</t>
  </si>
  <si>
    <t>Annospaino oikea</t>
  </si>
  <si>
    <t>Todettu</t>
  </si>
  <si>
    <t>Oikea</t>
  </si>
  <si>
    <t>Asikkaita v</t>
  </si>
  <si>
    <t>Asikkaita pv</t>
  </si>
  <si>
    <t>H3</t>
  </si>
  <si>
    <t xml:space="preserve">  5,6 kg * 5,65 e/kg</t>
  </si>
  <si>
    <t>KH = OH * 100 / KP% = 5,65 e/kg * 100 / 48,2%</t>
  </si>
  <si>
    <t>%    2,7 *100/ 5,6</t>
  </si>
  <si>
    <t>%    2,9 *100/ 5,6</t>
  </si>
  <si>
    <t>Myyntikate</t>
  </si>
  <si>
    <t>verton</t>
  </si>
  <si>
    <t xml:space="preserve">  - välitön kulu (veroton)</t>
  </si>
  <si>
    <t xml:space="preserve">  -alv</t>
  </si>
  <si>
    <t>Veroton MH</t>
  </si>
  <si>
    <t>verollinen</t>
  </si>
  <si>
    <t>Verollinen MH</t>
  </si>
  <si>
    <t>verolliset ainekulut  4,50 e (alv 24) .</t>
  </si>
  <si>
    <t>Harjoitus 4.   Mikä on kate%, jos veroton MH on 23 e ja</t>
  </si>
  <si>
    <t xml:space="preserve">  - välitön kulu</t>
  </si>
  <si>
    <t>%   26,20*124/100</t>
  </si>
  <si>
    <t>Ostohinta 6,20 e . Mikä on myyntikate% ?</t>
  </si>
  <si>
    <t>Mikä on viinipullon verollinen Mh, jos viinipullojen haluttu kate on 20 e.</t>
  </si>
  <si>
    <t>Harjoitus 3</t>
  </si>
  <si>
    <t>%    3,20*100/30</t>
  </si>
  <si>
    <t xml:space="preserve">%     </t>
  </si>
  <si>
    <t>Ainekulut 3,20 e.</t>
  </si>
  <si>
    <t>Laskutapa 2:  Mikä on verollinen MH, jos haluttu minimikate on 70 % ?</t>
  </si>
  <si>
    <t xml:space="preserve">   16,10*100/19,30</t>
  </si>
  <si>
    <t>Verollinen MH  22 e ja raaka-ainekulut 3,20 e (veroton) ?</t>
  </si>
  <si>
    <t>Mikä on myyntikate% ?</t>
  </si>
  <si>
    <t>Laskutapa 1</t>
  </si>
  <si>
    <t>Tuotehinnoittelu</t>
  </si>
  <si>
    <t>Pippuripihv</t>
  </si>
  <si>
    <t>Myyntihinta</t>
  </si>
  <si>
    <t xml:space="preserve">  28*100/114</t>
  </si>
  <si>
    <t xml:space="preserve">  18,51*100/24,56</t>
  </si>
  <si>
    <t>työminuutit</t>
  </si>
  <si>
    <t>työtunti</t>
  </si>
  <si>
    <t>e/h</t>
  </si>
  <si>
    <t xml:space="preserve">  - palkkakulut</t>
  </si>
  <si>
    <t>Palkkakate</t>
  </si>
  <si>
    <t xml:space="preserve">  8 min * 20 e/h / 60 min</t>
  </si>
  <si>
    <t xml:space="preserve">  15,84* 100/24,56</t>
  </si>
  <si>
    <t>salaatti</t>
  </si>
  <si>
    <t>Ruoka</t>
  </si>
  <si>
    <t>Juoma</t>
  </si>
  <si>
    <t>myyntimäärä</t>
  </si>
  <si>
    <t>ainekulut veroton</t>
  </si>
  <si>
    <t xml:space="preserve">Myyntituotot </t>
  </si>
  <si>
    <t>Juoma /alko</t>
  </si>
  <si>
    <t xml:space="preserve">  - ainekulut</t>
  </si>
  <si>
    <t>yhteensä</t>
  </si>
  <si>
    <t>3 hlö * 2000 e/h*12 kk*1,7</t>
  </si>
  <si>
    <t xml:space="preserve">  - vuokra</t>
  </si>
  <si>
    <t xml:space="preserve">  - markkinointi</t>
  </si>
  <si>
    <t xml:space="preserve">  - energia</t>
  </si>
  <si>
    <t xml:space="preserve">  - vakuutukset</t>
  </si>
  <si>
    <t xml:space="preserve">   - hallinto</t>
  </si>
  <si>
    <t xml:space="preserve">   - sekalaiset</t>
  </si>
  <si>
    <t>Käyttökate</t>
  </si>
  <si>
    <t xml:space="preserve">  24331*100/257131</t>
  </si>
  <si>
    <t>e         625/360 pv*35 pv</t>
  </si>
  <si>
    <t>c)  35 päivän korko</t>
  </si>
  <si>
    <t>e           625/12kk*4kk</t>
  </si>
  <si>
    <t>b) 4 kk korko</t>
  </si>
  <si>
    <t>a) vuosikorko</t>
  </si>
  <si>
    <t>Korko</t>
  </si>
  <si>
    <t>Lainasumma</t>
  </si>
  <si>
    <t>Esim 1</t>
  </si>
  <si>
    <t>Laskennallisesti kuukaudessa 30 pv  ja vuodessa 360 pv  (saksalainen tapa)</t>
  </si>
  <si>
    <t>Korkoprosenttia ilmoitettaessa tarkoitetaan aina vuosikorkoa.</t>
  </si>
  <si>
    <t>Korkolaskut</t>
  </si>
  <si>
    <t>14 pv korko</t>
  </si>
  <si>
    <t>b) vuosikorko</t>
  </si>
  <si>
    <t>2,5 kk korko</t>
  </si>
  <si>
    <t>Pikavippi</t>
  </si>
  <si>
    <t>Lainaat 500e  2 kk  65 e korolla.</t>
  </si>
  <si>
    <t>Lisäksi lainasta 20 e nostopalkkio.</t>
  </si>
  <si>
    <t>Mikä on vuosikorko ?</t>
  </si>
  <si>
    <t>Vuoden kustannukset</t>
  </si>
  <si>
    <t xml:space="preserve">  korko 1 vuodelta</t>
  </si>
  <si>
    <t xml:space="preserve">  palkkio</t>
  </si>
  <si>
    <t>Vuosikorko</t>
  </si>
  <si>
    <t xml:space="preserve">         X</t>
  </si>
  <si>
    <t>Korkoa korolle</t>
  </si>
  <si>
    <t>Talletat 5000 e pankkiin 6 % korolla 3 vuodeksi.</t>
  </si>
  <si>
    <t>Mikä on summa 3 vuoden päästä ? (korkoja ei nosteta pois vuosittain)</t>
  </si>
  <si>
    <t>Pääoma</t>
  </si>
  <si>
    <t>Yht</t>
  </si>
  <si>
    <t>Korko 6%</t>
  </si>
  <si>
    <t>vuosi 1</t>
  </si>
  <si>
    <t>vuosi 2</t>
  </si>
  <si>
    <t>vuosi 3</t>
  </si>
  <si>
    <t>40 vuotta</t>
  </si>
  <si>
    <t>8 vuotta</t>
  </si>
  <si>
    <t>Nykyarvo</t>
  </si>
  <si>
    <t>Kaverisi lupaa maksaa autostasi 6000 3 vuoden päästä.</t>
  </si>
  <si>
    <t>Sopivaksi katsottu korko 4%</t>
  </si>
  <si>
    <t>potenssi</t>
  </si>
  <si>
    <t>Laina</t>
  </si>
  <si>
    <t>Lyhennys 10 vuodessa</t>
  </si>
  <si>
    <t>Vuosi</t>
  </si>
  <si>
    <t>pääoma</t>
  </si>
  <si>
    <t>Lyhennys</t>
  </si>
  <si>
    <t>korko 7%</t>
  </si>
  <si>
    <t xml:space="preserve">  6000 /1,04/1,04/1,04</t>
  </si>
  <si>
    <t>Saat tuottoja  investoinnista 4 vuotta. Mikä on tuottojen nykyarvo ?</t>
  </si>
  <si>
    <t>Vuosi 1</t>
  </si>
  <si>
    <t>Vuosi 2</t>
  </si>
  <si>
    <t>Vuosi 3</t>
  </si>
  <si>
    <t>Vuosi 4</t>
  </si>
  <si>
    <t>korko 4%</t>
  </si>
  <si>
    <t xml:space="preserve">   5400/1,04</t>
  </si>
  <si>
    <t xml:space="preserve">  5600 / 1,04^2</t>
  </si>
  <si>
    <t xml:space="preserve">    5600/1,04/1,04   =</t>
  </si>
  <si>
    <t>Indeksit</t>
  </si>
  <si>
    <t xml:space="preserve">  - indekseillä mitataan esim raha-arvon muuttumista  tai hintojen nousua.</t>
  </si>
  <si>
    <t xml:space="preserve">  - prosenttilaskuista on kysymys</t>
  </si>
  <si>
    <t xml:space="preserve">Vuokra on sidottu indeksiin. </t>
  </si>
  <si>
    <t>a) Mikä on uusi vuokra helmikuu 2017 ?</t>
  </si>
  <si>
    <t>b) Montako prosenttia vuokra on noussut ?</t>
  </si>
  <si>
    <t xml:space="preserve">Teit vuokrasopimuksen tammikuu vuonna  2012, jolloin vuokra   450 e. </t>
  </si>
  <si>
    <t xml:space="preserve">  tam2012</t>
  </si>
  <si>
    <t xml:space="preserve">   hel2017</t>
  </si>
  <si>
    <t>Ind</t>
  </si>
  <si>
    <t>vuokra</t>
  </si>
  <si>
    <t>Auto maksaa 22 000 joulukuu 2016.</t>
  </si>
  <si>
    <t>Mikä olisi ollut hinta joulu 1958.</t>
  </si>
  <si>
    <t xml:space="preserve">  1923*450/1840</t>
  </si>
  <si>
    <t>a)</t>
  </si>
  <si>
    <t>B)</t>
  </si>
  <si>
    <t>Alkup.</t>
  </si>
  <si>
    <t xml:space="preserve">  + nousu</t>
  </si>
  <si>
    <t xml:space="preserve">Uusi </t>
  </si>
  <si>
    <t xml:space="preserve">  20,30*100/450</t>
  </si>
  <si>
    <t>Ostatte auton kaverin kanssa  vuonna 2015. Auton hinta 12 500.</t>
  </si>
  <si>
    <t>Auton arvo nyt  8500 e.</t>
  </si>
  <si>
    <t xml:space="preserve">Sinä maksat autosta silloin 6000 e. Paljonko kaverin pitää maksaa sinulle, </t>
  </si>
  <si>
    <t>jos hän haluaa lunastaa auton itselleen.</t>
  </si>
  <si>
    <t xml:space="preserve">   joulu 2016</t>
  </si>
  <si>
    <t xml:space="preserve">  joulu 1958</t>
  </si>
  <si>
    <t>markkaa</t>
  </si>
  <si>
    <t>auto hinta  2015</t>
  </si>
  <si>
    <t>auton hinta 2017 rahassa</t>
  </si>
  <si>
    <t>Auton arvon alennus prosentteina</t>
  </si>
  <si>
    <t xml:space="preserve">  - hinnan alennus</t>
  </si>
  <si>
    <t>Nykyhinta</t>
  </si>
  <si>
    <t>Sijoitettu raha</t>
  </si>
  <si>
    <t xml:space="preserve">  -arvon alennus ja inf.</t>
  </si>
  <si>
    <t>Lunastus hinta</t>
  </si>
  <si>
    <t>ind  2015 keskia</t>
  </si>
  <si>
    <t>ind  2018 hel</t>
  </si>
  <si>
    <t xml:space="preserve">   6000*67/100</t>
  </si>
  <si>
    <t xml:space="preserve">   6000 * 33 / 6000</t>
  </si>
  <si>
    <t>Tuotehinnoittelu kertausta</t>
  </si>
  <si>
    <t>Mikä on kate%, jos Verollinen MH 25 e ja verottomat ainekulut 3,20 e.</t>
  </si>
  <si>
    <t>Mikä on verollinen MH, jos verottomat ainekulut ovat 3 e ja haluttu</t>
  </si>
  <si>
    <t>kate% 72 % ?</t>
  </si>
  <si>
    <t xml:space="preserve">  - ainek.(veroton)</t>
  </si>
  <si>
    <t xml:space="preserve">  25*100/124</t>
  </si>
  <si>
    <t xml:space="preserve">  16,96*100/20,16</t>
  </si>
  <si>
    <t xml:space="preserve">  3*100/28</t>
  </si>
  <si>
    <t>10,71*124/100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</si>
</sst>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8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NumberFormat="1"/>
    <xf numFmtId="0" fontId="0" fillId="2" borderId="0" xfId="0" applyFill="1"/>
    <xf numFmtId="4" fontId="0" fillId="2" borderId="0" xfId="0" applyNumberFormat="1" applyFill="1"/>
    <xf numFmtId="4" fontId="0" fillId="0" borderId="0" xfId="0" applyNumberFormat="1"/>
    <xf numFmtId="0" fontId="1" fillId="0" borderId="0" xfId="0" applyFont="1"/>
    <xf numFmtId="4" fontId="0" fillId="3" borderId="0" xfId="0" applyNumberFormat="1" applyFill="1"/>
    <xf numFmtId="3" fontId="0" fillId="0" borderId="0" xfId="0" applyNumberFormat="1"/>
    <xf numFmtId="3" fontId="0" fillId="2" borderId="0" xfId="0" applyNumberFormat="1" applyFill="1"/>
    <xf numFmtId="4" fontId="0" fillId="0" borderId="0" xfId="0" applyNumberFormat="1" applyFill="1"/>
    <xf numFmtId="0" fontId="3" fillId="0" borderId="0" xfId="0" applyFont="1"/>
    <xf numFmtId="0" fontId="3" fillId="2" borderId="1" xfId="0" applyFont="1" applyFill="1" applyBorder="1"/>
    <xf numFmtId="4" fontId="3" fillId="0" borderId="1" xfId="0" applyNumberFormat="1" applyFont="1" applyBorder="1"/>
    <xf numFmtId="0" fontId="3" fillId="0" borderId="1" xfId="0" applyFont="1" applyBorder="1"/>
    <xf numFmtId="4" fontId="0" fillId="4" borderId="0" xfId="0" applyNumberFormat="1" applyFill="1"/>
    <xf numFmtId="0" fontId="0" fillId="0" borderId="0" xfId="0" applyFill="1"/>
    <xf numFmtId="0" fontId="2" fillId="0" borderId="0" xfId="0" applyFont="1"/>
    <xf numFmtId="0" fontId="2" fillId="0" borderId="1" xfId="0" applyFont="1" applyBorder="1"/>
    <xf numFmtId="0" fontId="0" fillId="4" borderId="0" xfId="0" applyFill="1"/>
    <xf numFmtId="0" fontId="0" fillId="3" borderId="0" xfId="0" applyFill="1"/>
    <xf numFmtId="4" fontId="0" fillId="4" borderId="1" xfId="0" applyNumberFormat="1" applyFill="1" applyBorder="1"/>
    <xf numFmtId="0" fontId="0" fillId="0" borderId="1" xfId="0" applyBorder="1"/>
    <xf numFmtId="3" fontId="2" fillId="0" borderId="1" xfId="0" applyNumberFormat="1" applyFont="1" applyFill="1" applyBorder="1"/>
    <xf numFmtId="1" fontId="0" fillId="2" borderId="0" xfId="0" applyNumberFormat="1" applyFill="1"/>
    <xf numFmtId="0" fontId="0" fillId="0" borderId="2" xfId="0" applyBorder="1"/>
    <xf numFmtId="4" fontId="0" fillId="0" borderId="2" xfId="0" applyNumberFormat="1" applyBorder="1"/>
    <xf numFmtId="0" fontId="0" fillId="0" borderId="0" xfId="0" applyFill="1" applyBorder="1"/>
    <xf numFmtId="0" fontId="5" fillId="0" borderId="0" xfId="0" applyFont="1"/>
    <xf numFmtId="0" fontId="5" fillId="0" borderId="2" xfId="0" applyFont="1" applyBorder="1"/>
    <xf numFmtId="164" fontId="0" fillId="3" borderId="0" xfId="0" applyNumberFormat="1" applyFill="1"/>
    <xf numFmtId="164" fontId="0" fillId="0" borderId="0" xfId="0" applyNumberFormat="1"/>
    <xf numFmtId="0" fontId="2" fillId="0" borderId="2" xfId="0" applyFont="1" applyBorder="1"/>
    <xf numFmtId="164" fontId="2" fillId="0" borderId="2" xfId="0" applyNumberFormat="1" applyFont="1" applyBorder="1"/>
    <xf numFmtId="164" fontId="2" fillId="0" borderId="1" xfId="0" applyNumberFormat="1" applyFont="1" applyBorder="1"/>
    <xf numFmtId="0" fontId="6" fillId="0" borderId="0" xfId="0" applyFont="1"/>
    <xf numFmtId="0" fontId="3" fillId="0" borderId="2" xfId="0" applyFont="1" applyBorder="1"/>
    <xf numFmtId="3" fontId="0" fillId="3" borderId="0" xfId="0" applyNumberFormat="1" applyFill="1"/>
    <xf numFmtId="3" fontId="2" fillId="0" borderId="2" xfId="0" applyNumberFormat="1" applyFont="1" applyBorder="1"/>
    <xf numFmtId="3" fontId="0" fillId="5" borderId="0" xfId="0" applyNumberFormat="1" applyFill="1"/>
    <xf numFmtId="165" fontId="3" fillId="0" borderId="0" xfId="0" applyNumberFormat="1" applyFont="1"/>
    <xf numFmtId="3" fontId="3" fillId="0" borderId="0" xfId="0" applyNumberFormat="1" applyFont="1"/>
    <xf numFmtId="165" fontId="2" fillId="0" borderId="2" xfId="0" applyNumberFormat="1" applyFont="1" applyBorder="1"/>
    <xf numFmtId="0" fontId="7" fillId="0" borderId="0" xfId="0" applyFont="1"/>
    <xf numFmtId="3" fontId="3" fillId="4" borderId="0" xfId="0" applyNumberFormat="1" applyFont="1" applyFill="1"/>
    <xf numFmtId="164" fontId="3" fillId="0" borderId="0" xfId="0" applyNumberFormat="1" applyFont="1"/>
    <xf numFmtId="164" fontId="3" fillId="4" borderId="0" xfId="0" applyNumberFormat="1" applyFont="1" applyFill="1"/>
    <xf numFmtId="165" fontId="3" fillId="0" borderId="2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 applyFill="1"/>
    <xf numFmtId="166" fontId="0" fillId="3" borderId="0" xfId="0" applyNumberFormat="1" applyFill="1"/>
    <xf numFmtId="4" fontId="0" fillId="2" borderId="2" xfId="0" applyNumberFormat="1" applyFill="1" applyBorder="1"/>
    <xf numFmtId="0" fontId="8" fillId="0" borderId="0" xfId="0" applyFont="1"/>
    <xf numFmtId="4" fontId="8" fillId="0" borderId="2" xfId="0" applyNumberFormat="1" applyFont="1" applyBorder="1"/>
    <xf numFmtId="165" fontId="0" fillId="3" borderId="0" xfId="0" applyNumberFormat="1" applyFill="1"/>
    <xf numFmtId="4" fontId="8" fillId="0" borderId="0" xfId="0" applyNumberFormat="1" applyFont="1"/>
    <xf numFmtId="3" fontId="0" fillId="0" borderId="2" xfId="0" applyNumberFormat="1" applyBorder="1"/>
    <xf numFmtId="165" fontId="0" fillId="2" borderId="0" xfId="0" applyNumberFormat="1" applyFill="1"/>
    <xf numFmtId="0" fontId="0" fillId="0" borderId="2" xfId="0" applyFill="1" applyBorder="1"/>
    <xf numFmtId="165" fontId="0" fillId="0" borderId="0" xfId="0" applyNumberFormat="1"/>
    <xf numFmtId="165" fontId="0" fillId="0" borderId="2" xfId="0" applyNumberFormat="1" applyBorder="1"/>
    <xf numFmtId="9" fontId="0" fillId="0" borderId="0" xfId="0" applyNumberFormat="1"/>
    <xf numFmtId="0" fontId="9" fillId="0" borderId="0" xfId="0" applyFont="1"/>
    <xf numFmtId="3" fontId="6" fillId="0" borderId="0" xfId="0" applyNumberFormat="1" applyFont="1"/>
    <xf numFmtId="0" fontId="6" fillId="0" borderId="0" xfId="0" applyFont="1" applyFill="1" applyBorder="1"/>
    <xf numFmtId="4" fontId="6" fillId="0" borderId="0" xfId="0" applyNumberFormat="1" applyFont="1"/>
    <xf numFmtId="3" fontId="0" fillId="4" borderId="0" xfId="0" applyNumberFormat="1" applyFill="1"/>
    <xf numFmtId="0" fontId="6" fillId="4" borderId="0" xfId="0" applyFont="1" applyFill="1"/>
    <xf numFmtId="3" fontId="0" fillId="0" borderId="1" xfId="0" applyNumberFormat="1" applyBorder="1"/>
    <xf numFmtId="4" fontId="0" fillId="0" borderId="1" xfId="0" applyNumberFormat="1" applyBorder="1"/>
    <xf numFmtId="166" fontId="0" fillId="0" borderId="0" xfId="0" applyNumberFormat="1"/>
    <xf numFmtId="166" fontId="0" fillId="0" borderId="1" xfId="0" applyNumberFormat="1" applyBorder="1"/>
    <xf numFmtId="3" fontId="0" fillId="2" borderId="1" xfId="0" applyNumberFormat="1" applyFill="1" applyBorder="1"/>
    <xf numFmtId="17" fontId="0" fillId="0" borderId="0" xfId="0" applyNumberFormat="1"/>
    <xf numFmtId="165" fontId="0" fillId="2" borderId="1" xfId="0" applyNumberFormat="1" applyFill="1" applyBorder="1"/>
    <xf numFmtId="0" fontId="4" fillId="0" borderId="0" xfId="0" applyFont="1"/>
    <xf numFmtId="166" fontId="0" fillId="2" borderId="1" xfId="0" applyNumberFormat="1" applyFill="1" applyBorder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404752</xdr:colOff>
      <xdr:row>0</xdr:row>
      <xdr:rowOff>91044</xdr:rowOff>
    </xdr:from>
    <xdr:to>
      <xdr:col>12</xdr:col>
      <xdr:colOff>230578</xdr:colOff>
      <xdr:row>21</xdr:row>
      <xdr:rowOff>43419</xdr:rowOff>
    </xdr:to>
    <xdr:sp macro="" textlink="">
      <xdr:nvSpPr>
        <xdr:cNvPr id="2" name="TextBox 1"/>
        <xdr:cNvSpPr txBox="1"/>
      </xdr:nvSpPr>
      <xdr:spPr>
        <a:xfrm>
          <a:off x="4671952" y="91044"/>
          <a:ext cx="2873826" cy="3952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Asiakkaalle annettiin ostopalautusta 1,5 % . Palautus oli markkoina 85,35. Mikä oli asiakkaan ostosten yhteissumma ?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Montako tuntia on koulupäiväsi jos 25 minuutin ruokatauko on 5% kouluupäivästäsi ?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Koulun oppilasmäärä väheni 12 % eli koulussa oli kevät lukukaudella 30 oppilasta vähemmän kuin syyskaudella. Mikä oli oppilasmäärä syksyllä ?</a:t>
          </a:r>
        </a:p>
        <a:p>
          <a:endParaRPr lang="fi-F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</xdr:colOff>
      <xdr:row>2</xdr:row>
      <xdr:rowOff>106680</xdr:rowOff>
    </xdr:from>
    <xdr:to>
      <xdr:col>3</xdr:col>
      <xdr:colOff>339090</xdr:colOff>
      <xdr:row>3</xdr:row>
      <xdr:rowOff>102870</xdr:rowOff>
    </xdr:to>
    <xdr:cxnSp macro="">
      <xdr:nvCxnSpPr>
        <xdr:cNvPr id="3" name="Straight Arrow Connector 2"/>
        <xdr:cNvCxnSpPr/>
      </xdr:nvCxnSpPr>
      <xdr:spPr>
        <a:xfrm flipV="1">
          <a:off x="2179320" y="487680"/>
          <a:ext cx="742950" cy="18669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106680</xdr:colOff>
      <xdr:row>2</xdr:row>
      <xdr:rowOff>72390</xdr:rowOff>
    </xdr:from>
    <xdr:to>
      <xdr:col>2</xdr:col>
      <xdr:colOff>548640</xdr:colOff>
      <xdr:row>3</xdr:row>
      <xdr:rowOff>19050</xdr:rowOff>
    </xdr:to>
    <xdr:cxnSp macro="">
      <xdr:nvCxnSpPr>
        <xdr:cNvPr id="4" name="Straight Arrow Connector 3"/>
        <xdr:cNvCxnSpPr/>
      </xdr:nvCxnSpPr>
      <xdr:spPr>
        <a:xfrm flipH="1" flipV="1">
          <a:off x="2080260" y="453390"/>
          <a:ext cx="441960" cy="1371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</xdr:colOff>
      <xdr:row>6</xdr:row>
      <xdr:rowOff>102870</xdr:rowOff>
    </xdr:from>
    <xdr:to>
      <xdr:col>3</xdr:col>
      <xdr:colOff>441960</xdr:colOff>
      <xdr:row>7</xdr:row>
      <xdr:rowOff>163830</xdr:rowOff>
    </xdr:to>
    <xdr:cxnSp macro="">
      <xdr:nvCxnSpPr>
        <xdr:cNvPr id="7" name="Straight Arrow Connector 6"/>
        <xdr:cNvCxnSpPr/>
      </xdr:nvCxnSpPr>
      <xdr:spPr>
        <a:xfrm>
          <a:off x="2118360" y="1245870"/>
          <a:ext cx="906780" cy="2514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6</xdr:row>
      <xdr:rowOff>129540</xdr:rowOff>
    </xdr:from>
    <xdr:to>
      <xdr:col>3</xdr:col>
      <xdr:colOff>316230</xdr:colOff>
      <xdr:row>7</xdr:row>
      <xdr:rowOff>19050</xdr:rowOff>
    </xdr:to>
    <xdr:cxnSp macro="">
      <xdr:nvCxnSpPr>
        <xdr:cNvPr id="9" name="Straight Arrow Connector 8"/>
        <xdr:cNvCxnSpPr/>
      </xdr:nvCxnSpPr>
      <xdr:spPr>
        <a:xfrm flipV="1">
          <a:off x="2526030" y="1272540"/>
          <a:ext cx="373380" cy="800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575310</xdr:colOff>
      <xdr:row>16</xdr:row>
      <xdr:rowOff>110490</xdr:rowOff>
    </xdr:from>
    <xdr:to>
      <xdr:col>3</xdr:col>
      <xdr:colOff>445770</xdr:colOff>
      <xdr:row>17</xdr:row>
      <xdr:rowOff>30480</xdr:rowOff>
    </xdr:to>
    <xdr:cxnSp macro="">
      <xdr:nvCxnSpPr>
        <xdr:cNvPr id="11" name="Straight Arrow Connector 10"/>
        <xdr:cNvCxnSpPr/>
      </xdr:nvCxnSpPr>
      <xdr:spPr>
        <a:xfrm flipV="1">
          <a:off x="2548890" y="3158490"/>
          <a:ext cx="480060" cy="11049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140970</xdr:colOff>
      <xdr:row>16</xdr:row>
      <xdr:rowOff>106680</xdr:rowOff>
    </xdr:from>
    <xdr:to>
      <xdr:col>3</xdr:col>
      <xdr:colOff>438150</xdr:colOff>
      <xdr:row>17</xdr:row>
      <xdr:rowOff>167640</xdr:rowOff>
    </xdr:to>
    <xdr:cxnSp macro="">
      <xdr:nvCxnSpPr>
        <xdr:cNvPr id="13" name="Straight Arrow Connector 12"/>
        <xdr:cNvCxnSpPr/>
      </xdr:nvCxnSpPr>
      <xdr:spPr>
        <a:xfrm>
          <a:off x="2114550" y="3154680"/>
          <a:ext cx="906780" cy="2514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171915</xdr:colOff>
      <xdr:row>0</xdr:row>
      <xdr:rowOff>111611</xdr:rowOff>
    </xdr:from>
    <xdr:to>
      <xdr:col>13</xdr:col>
      <xdr:colOff>9192</xdr:colOff>
      <xdr:row>24</xdr:row>
      <xdr:rowOff>178286</xdr:rowOff>
    </xdr:to>
    <xdr:sp macro="" textlink="">
      <xdr:nvSpPr>
        <xdr:cNvPr id="2" name="TextBox 1"/>
        <xdr:cNvSpPr txBox="1"/>
      </xdr:nvSpPr>
      <xdr:spPr>
        <a:xfrm>
          <a:off x="3829515" y="111611"/>
          <a:ext cx="4104477" cy="463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A. Prosenttilaskut</a:t>
          </a: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fi-FI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fi-FI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Hintaa 55,- € alennettiin ensin 3 € , sitten korotetiin vielä 8%.Mikä oni lopullinen hinta ja alennus% ? ( 56,16 €)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a) Huoneen hinta korotuksen jälkeen oli 35 €. Paljonko oli alkuperäinen hinta jos korotus% oli 12 % ?(31,25 €)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Montako prosenttia olisi  korotus ollut jos korotettu hinta olisi 35 ja korotus 2,30 € ?  (7,03%)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Ravintolan siivouskulut  olivat 15% kokonaiskustannuksista. Paljonko ovat kokonaiskustannukset jos siivouskulut  ovat 175 000 € ?    (1 166 667 € )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fi-FI" sz="1100"/>
        </a:p>
      </xdr:txBody>
    </xdr:sp>
    <xdr:clientData/>
  </xdr:twoCellAnchor>
  <xdr:twoCellAnchor>
    <xdr:from>
      <xdr:col>5</xdr:col>
      <xdr:colOff>487866</xdr:colOff>
      <xdr:row>30</xdr:row>
      <xdr:rowOff>148683</xdr:rowOff>
    </xdr:from>
    <xdr:to>
      <xdr:col>11</xdr:col>
      <xdr:colOff>413525</xdr:colOff>
      <xdr:row>37</xdr:row>
      <xdr:rowOff>18585</xdr:rowOff>
    </xdr:to>
    <xdr:sp macro="" textlink="">
      <xdr:nvSpPr>
        <xdr:cNvPr id="3" name="TextBox 2"/>
        <xdr:cNvSpPr txBox="1"/>
      </xdr:nvSpPr>
      <xdr:spPr>
        <a:xfrm>
          <a:off x="3535866" y="5863683"/>
          <a:ext cx="3583259" cy="12034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Markkinointikulut ovat 22% kiinteistäkuluista.</a:t>
          </a:r>
          <a:r>
            <a:rPr lang="fi-FI" sz="1100" baseline="0"/>
            <a:t> Kiinteät kulut ovat 28% liikevaihdosta. Paljonko on liikevaihto, jos markkinointikulut ovat 8500 e ?</a:t>
          </a:r>
          <a:endParaRPr lang="fi-FI" sz="1100"/>
        </a:p>
      </xdr:txBody>
    </xdr:sp>
    <xdr:clientData/>
  </xdr:twoCellAnchor>
  <xdr:twoCellAnchor>
    <xdr:from>
      <xdr:col>6</xdr:col>
      <xdr:colOff>144037</xdr:colOff>
      <xdr:row>39</xdr:row>
      <xdr:rowOff>69695</xdr:rowOff>
    </xdr:from>
    <xdr:to>
      <xdr:col>11</xdr:col>
      <xdr:colOff>492512</xdr:colOff>
      <xdr:row>45</xdr:row>
      <xdr:rowOff>18585</xdr:rowOff>
    </xdr:to>
    <xdr:sp macro="" textlink="">
      <xdr:nvSpPr>
        <xdr:cNvPr id="4" name="TextBox 3"/>
        <xdr:cNvSpPr txBox="1"/>
      </xdr:nvSpPr>
      <xdr:spPr>
        <a:xfrm>
          <a:off x="3801637" y="7499195"/>
          <a:ext cx="3396475" cy="1091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Tuotteen</a:t>
          </a:r>
          <a:r>
            <a:rPr lang="fi-FI" sz="1100" baseline="0"/>
            <a:t> hintaa 456 e oli korotettu 7% ja sen jälkeen alennettu 5%.  Mikä oli hinta ennen näitä muutoksia ?</a:t>
          </a:r>
          <a:endParaRPr lang="fi-FI" sz="1100"/>
        </a:p>
      </xdr:txBody>
    </xdr:sp>
    <xdr:clientData/>
  </xdr:twoCellAnchor>
  <xdr:twoCellAnchor>
    <xdr:from>
      <xdr:col>0</xdr:col>
      <xdr:colOff>1054720</xdr:colOff>
      <xdr:row>40</xdr:row>
      <xdr:rowOff>92927</xdr:rowOff>
    </xdr:from>
    <xdr:to>
      <xdr:col>0</xdr:col>
      <xdr:colOff>1143000</xdr:colOff>
      <xdr:row>47</xdr:row>
      <xdr:rowOff>139390</xdr:rowOff>
    </xdr:to>
    <xdr:cxnSp macro="">
      <xdr:nvCxnSpPr>
        <xdr:cNvPr id="6" name="Straight Arrow Connector 5"/>
        <xdr:cNvCxnSpPr/>
      </xdr:nvCxnSpPr>
      <xdr:spPr>
        <a:xfrm flipV="1">
          <a:off x="1054720" y="7629293"/>
          <a:ext cx="88280" cy="137996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288489</xdr:colOff>
      <xdr:row>0</xdr:row>
      <xdr:rowOff>57264</xdr:rowOff>
    </xdr:from>
    <xdr:to>
      <xdr:col>13</xdr:col>
      <xdr:colOff>79232</xdr:colOff>
      <xdr:row>18</xdr:row>
      <xdr:rowOff>139912</xdr:rowOff>
    </xdr:to>
    <xdr:sp macro="" textlink="">
      <xdr:nvSpPr>
        <xdr:cNvPr id="2" name="TextBox 1"/>
        <xdr:cNvSpPr txBox="1"/>
      </xdr:nvSpPr>
      <xdr:spPr>
        <a:xfrm>
          <a:off x="4555689" y="57264"/>
          <a:ext cx="3448343" cy="33744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  Kalaa ostettiin 5,6 kg . Siitä saatiin 6 kpl  450 g:n fileitä.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Ostohinta  5,65 €/kg. </a:t>
          </a: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Las­ke:</a:t>
          </a: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 PH%    		___51,8%____</a:t>
          </a: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PH ( KG)		____2,9 kg____</a:t>
          </a: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KH		____11, 72 e/kg___</a:t>
          </a: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i-F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Ainehinta		____31,64 e___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Mikä on ostopaino, jos fileet painavat 1,9 kg  ja painohäviö% on 34% ?</a:t>
          </a:r>
        </a:p>
        <a:p>
          <a:endParaRPr lang="fi-FI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230445</xdr:colOff>
      <xdr:row>13</xdr:row>
      <xdr:rowOff>30724</xdr:rowOff>
    </xdr:from>
    <xdr:to>
      <xdr:col>7</xdr:col>
      <xdr:colOff>445526</xdr:colOff>
      <xdr:row>17</xdr:row>
      <xdr:rowOff>181281</xdr:rowOff>
    </xdr:to>
    <xdr:sp macro="" textlink="">
      <xdr:nvSpPr>
        <xdr:cNvPr id="2" name="TextBox 1"/>
        <xdr:cNvSpPr txBox="1"/>
      </xdr:nvSpPr>
      <xdr:spPr>
        <a:xfrm>
          <a:off x="3084872" y="2507224"/>
          <a:ext cx="2648565" cy="9125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 Laske seuraavat korot , kun pääoma, korkokanta ja aika ovat: </a:t>
          </a:r>
          <a:b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   13 000 €, 6,5 %, aika 14 pv </a:t>
          </a:r>
          <a:b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 3400 €, 7,5 %, 2,5 kk </a:t>
          </a:r>
          <a:endParaRPr lang="fi-FI" sz="1100"/>
        </a:p>
      </xdr:txBody>
    </xdr:sp>
    <xdr:clientData/>
  </xdr:twoCellAnchor>
  <xdr:twoCellAnchor>
    <xdr:from>
      <xdr:col>4</xdr:col>
      <xdr:colOff>467032</xdr:colOff>
      <xdr:row>46</xdr:row>
      <xdr:rowOff>107541</xdr:rowOff>
    </xdr:from>
    <xdr:to>
      <xdr:col>8</xdr:col>
      <xdr:colOff>3072</xdr:colOff>
      <xdr:row>51</xdr:row>
      <xdr:rowOff>147484</xdr:rowOff>
    </xdr:to>
    <xdr:sp macro="" textlink="">
      <xdr:nvSpPr>
        <xdr:cNvPr id="3" name="TextBox 2"/>
        <xdr:cNvSpPr txBox="1"/>
      </xdr:nvSpPr>
      <xdr:spPr>
        <a:xfrm>
          <a:off x="2835992" y="8879759"/>
          <a:ext cx="1969524" cy="9924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Kuinka suureksi kasvaa 12.000 € pääoma 8 vuodessa jos vuotuinen korko  on: </a:t>
          </a: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a) 2 %	b) 6 %</a:t>
          </a:r>
        </a:p>
        <a:p>
          <a:endParaRPr lang="fi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6"/>
  <sheetViews>
    <sheetView zoomScale="220" zoomScaleNormal="220" workbookViewId="0">
      <selection activeCell="A22" sqref="A22"/>
    </sheetView>
  </sheetViews>
  <sheetFormatPr defaultRowHeight="15" x14ac:dyDescent="0.25"/>
  <cols>
    <col min="1" max="1" width="13.28515625" customWidth="1"/>
  </cols>
  <sheetData>
    <row r="4" spans="1:6" x14ac:dyDescent="0.25">
      <c r="A4" t="s">
        <v>71</v>
      </c>
      <c r="B4" s="6">
        <f>+B5*C4/C5</f>
        <v>5690</v>
      </c>
      <c r="C4">
        <v>100</v>
      </c>
      <c r="D4" t="s">
        <v>70</v>
      </c>
    </row>
    <row r="5" spans="1:6" ht="15.75" thickBot="1" x14ac:dyDescent="0.3">
      <c r="A5" s="24" t="s">
        <v>69</v>
      </c>
      <c r="B5" s="25">
        <v>85.35</v>
      </c>
      <c r="C5" s="24">
        <v>1.5</v>
      </c>
      <c r="D5" t="s">
        <v>3</v>
      </c>
    </row>
    <row r="6" spans="1:6" x14ac:dyDescent="0.25">
      <c r="A6" t="s">
        <v>68</v>
      </c>
      <c r="B6" s="4">
        <f>+B4-B5</f>
        <v>5604.65</v>
      </c>
    </row>
    <row r="9" spans="1:6" x14ac:dyDescent="0.25">
      <c r="B9" t="s">
        <v>67</v>
      </c>
    </row>
    <row r="10" spans="1:6" x14ac:dyDescent="0.25">
      <c r="A10" t="s">
        <v>66</v>
      </c>
      <c r="B10" s="19">
        <f>+B11*C10/C11</f>
        <v>500</v>
      </c>
      <c r="C10">
        <v>100</v>
      </c>
      <c r="D10" t="s">
        <v>3</v>
      </c>
      <c r="E10">
        <f>B10/60</f>
        <v>8.3333333333333339</v>
      </c>
      <c r="F10" t="s">
        <v>65</v>
      </c>
    </row>
    <row r="11" spans="1:6" x14ac:dyDescent="0.25">
      <c r="A11" t="s">
        <v>64</v>
      </c>
      <c r="B11">
        <v>25</v>
      </c>
      <c r="C11">
        <v>5</v>
      </c>
      <c r="D11" t="s">
        <v>3</v>
      </c>
      <c r="E11" t="s">
        <v>63</v>
      </c>
    </row>
    <row r="14" spans="1:6" x14ac:dyDescent="0.25">
      <c r="A14" t="s">
        <v>62</v>
      </c>
      <c r="B14" s="19">
        <f>+B15*C14/C15</f>
        <v>250</v>
      </c>
      <c r="C14">
        <v>100</v>
      </c>
      <c r="D14" t="s">
        <v>3</v>
      </c>
    </row>
    <row r="15" spans="1:6" ht="15.75" thickBot="1" x14ac:dyDescent="0.3">
      <c r="A15" s="24" t="s">
        <v>61</v>
      </c>
      <c r="B15" s="24">
        <v>30</v>
      </c>
      <c r="C15" s="24">
        <v>12</v>
      </c>
      <c r="D15" t="s">
        <v>3</v>
      </c>
    </row>
    <row r="16" spans="1:6" x14ac:dyDescent="0.25">
      <c r="A16" t="s">
        <v>60</v>
      </c>
      <c r="B16">
        <f>+B14-B15</f>
        <v>220</v>
      </c>
      <c r="C16">
        <f>+C14-C15</f>
        <v>88</v>
      </c>
      <c r="D16" t="s">
        <v>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130" zoomScaleNormal="130" workbookViewId="0">
      <selection activeCell="F29" sqref="F29"/>
    </sheetView>
  </sheetViews>
  <sheetFormatPr defaultRowHeight="15" x14ac:dyDescent="0.25"/>
  <cols>
    <col min="1" max="1" width="16.7109375" customWidth="1"/>
    <col min="2" max="2" width="9.85546875" bestFit="1" customWidth="1"/>
    <col min="3" max="3" width="7" customWidth="1"/>
    <col min="4" max="4" width="9.85546875" bestFit="1" customWidth="1"/>
  </cols>
  <sheetData>
    <row r="1" spans="1:7" x14ac:dyDescent="0.25">
      <c r="B1" t="s">
        <v>184</v>
      </c>
      <c r="C1" t="s">
        <v>189</v>
      </c>
    </row>
    <row r="2" spans="1:7" x14ac:dyDescent="0.25">
      <c r="A2" t="s">
        <v>173</v>
      </c>
      <c r="B2" s="4">
        <v>12</v>
      </c>
      <c r="C2" s="4">
        <v>5</v>
      </c>
    </row>
    <row r="3" spans="1:7" x14ac:dyDescent="0.25">
      <c r="A3" t="s">
        <v>187</v>
      </c>
      <c r="B3" s="4">
        <v>3</v>
      </c>
      <c r="C3" s="4">
        <v>1.2</v>
      </c>
    </row>
    <row r="4" spans="1:7" x14ac:dyDescent="0.25">
      <c r="A4" t="s">
        <v>186</v>
      </c>
      <c r="B4" s="7">
        <f>200*80</f>
        <v>16000</v>
      </c>
      <c r="C4" s="7">
        <v>22000</v>
      </c>
    </row>
    <row r="6" spans="1:7" x14ac:dyDescent="0.25">
      <c r="B6" t="s">
        <v>184</v>
      </c>
      <c r="D6" t="s">
        <v>185</v>
      </c>
      <c r="F6" t="s">
        <v>191</v>
      </c>
    </row>
    <row r="7" spans="1:7" x14ac:dyDescent="0.25">
      <c r="A7" t="s">
        <v>188</v>
      </c>
      <c r="B7" s="7">
        <f>B2*B4</f>
        <v>192000</v>
      </c>
      <c r="C7">
        <f>+C8+C9</f>
        <v>114</v>
      </c>
      <c r="D7" s="7">
        <f>C2*C4</f>
        <v>110000</v>
      </c>
      <c r="E7">
        <f>+E8+E9</f>
        <v>124</v>
      </c>
      <c r="F7" s="7">
        <f>+B7+D7</f>
        <v>302000</v>
      </c>
    </row>
    <row r="8" spans="1:7" ht="15.75" thickBot="1" x14ac:dyDescent="0.3">
      <c r="A8" s="24" t="s">
        <v>152</v>
      </c>
      <c r="B8" s="55">
        <f>+B7-B9</f>
        <v>23578.947368421039</v>
      </c>
      <c r="C8" s="24">
        <v>14</v>
      </c>
      <c r="D8" s="55">
        <f>+D7-D9</f>
        <v>21290.322580645166</v>
      </c>
      <c r="E8" s="24">
        <v>24</v>
      </c>
      <c r="F8" s="55">
        <f t="shared" ref="F8:F11" si="0">+B8+D8</f>
        <v>44869.269949066205</v>
      </c>
      <c r="G8" s="59">
        <f>F8*G9/F9</f>
        <v>17.449983492901943</v>
      </c>
    </row>
    <row r="9" spans="1:7" x14ac:dyDescent="0.25">
      <c r="A9" t="s">
        <v>18</v>
      </c>
      <c r="B9" s="7">
        <f>B7*C9/C7</f>
        <v>168421.05263157896</v>
      </c>
      <c r="C9">
        <v>100</v>
      </c>
      <c r="D9" s="7">
        <f>D7*E9/E7</f>
        <v>88709.677419354834</v>
      </c>
      <c r="E9">
        <v>100</v>
      </c>
      <c r="F9" s="7">
        <f t="shared" si="0"/>
        <v>257130.73005093378</v>
      </c>
      <c r="G9">
        <v>100</v>
      </c>
    </row>
    <row r="10" spans="1:7" ht="15.75" thickBot="1" x14ac:dyDescent="0.3">
      <c r="A10" s="24" t="s">
        <v>190</v>
      </c>
      <c r="B10" s="55">
        <f>B3*B4</f>
        <v>48000</v>
      </c>
      <c r="C10" s="24"/>
      <c r="D10" s="55">
        <f>C3*C4</f>
        <v>26400</v>
      </c>
      <c r="E10" s="24"/>
      <c r="F10" s="55">
        <f t="shared" si="0"/>
        <v>74400</v>
      </c>
      <c r="G10" s="24"/>
    </row>
    <row r="11" spans="1:7" x14ac:dyDescent="0.25">
      <c r="A11" s="26" t="s">
        <v>149</v>
      </c>
      <c r="B11" s="7">
        <f>B9-B10</f>
        <v>120421.05263157896</v>
      </c>
      <c r="C11" s="2">
        <f>B11*C9/B9</f>
        <v>71.5</v>
      </c>
      <c r="D11" s="7">
        <f>D9-D10</f>
        <v>62309.677419354834</v>
      </c>
      <c r="E11" s="2">
        <f>D11*E9/D9</f>
        <v>70.239999999999995</v>
      </c>
      <c r="F11" s="7">
        <f t="shared" si="0"/>
        <v>182730.73005093378</v>
      </c>
      <c r="G11" s="56">
        <f>F11*G9/F9</f>
        <v>71.065302079894352</v>
      </c>
    </row>
    <row r="12" spans="1:7" ht="15.75" thickBot="1" x14ac:dyDescent="0.3">
      <c r="A12" s="57" t="s">
        <v>179</v>
      </c>
      <c r="B12" s="55"/>
      <c r="C12" s="24" t="s">
        <v>192</v>
      </c>
      <c r="D12" s="55"/>
      <c r="E12" s="24"/>
      <c r="F12" s="55">
        <f>3*2000*12*1.7</f>
        <v>122400</v>
      </c>
      <c r="G12" s="24"/>
    </row>
    <row r="13" spans="1:7" x14ac:dyDescent="0.25">
      <c r="A13" s="26" t="s">
        <v>180</v>
      </c>
      <c r="B13" s="7"/>
      <c r="D13" s="7"/>
      <c r="F13" s="7">
        <f>F11-F12</f>
        <v>60330.73005093378</v>
      </c>
      <c r="G13" s="58">
        <f>F13*G9/F9</f>
        <v>23.463057114559259</v>
      </c>
    </row>
    <row r="14" spans="1:7" x14ac:dyDescent="0.25">
      <c r="A14" s="26" t="s">
        <v>193</v>
      </c>
      <c r="B14" s="7"/>
      <c r="D14" s="7"/>
      <c r="F14" s="7">
        <f>1500*12</f>
        <v>18000</v>
      </c>
    </row>
    <row r="15" spans="1:7" x14ac:dyDescent="0.25">
      <c r="A15" t="s">
        <v>194</v>
      </c>
      <c r="B15" s="7"/>
      <c r="D15" s="7"/>
      <c r="F15" s="7">
        <v>5000</v>
      </c>
    </row>
    <row r="16" spans="1:7" x14ac:dyDescent="0.25">
      <c r="A16" t="s">
        <v>195</v>
      </c>
      <c r="B16" s="7"/>
      <c r="D16" s="7"/>
      <c r="F16" s="7">
        <v>3000</v>
      </c>
    </row>
    <row r="17" spans="1:8" x14ac:dyDescent="0.25">
      <c r="A17" t="s">
        <v>196</v>
      </c>
      <c r="B17" s="7"/>
      <c r="D17" s="7"/>
      <c r="F17" s="7">
        <v>2000</v>
      </c>
    </row>
    <row r="18" spans="1:8" x14ac:dyDescent="0.25">
      <c r="A18" t="s">
        <v>197</v>
      </c>
      <c r="B18" s="7"/>
      <c r="D18" s="7"/>
      <c r="F18" s="7">
        <v>3000</v>
      </c>
    </row>
    <row r="19" spans="1:8" ht="15.75" thickBot="1" x14ac:dyDescent="0.3">
      <c r="A19" s="24" t="s">
        <v>198</v>
      </c>
      <c r="B19" s="55"/>
      <c r="C19" s="24"/>
      <c r="D19" s="55"/>
      <c r="E19" s="24"/>
      <c r="F19" s="55">
        <v>5000</v>
      </c>
      <c r="G19" s="24"/>
    </row>
    <row r="20" spans="1:8" x14ac:dyDescent="0.25">
      <c r="A20" s="26" t="s">
        <v>199</v>
      </c>
      <c r="B20" s="7"/>
      <c r="D20" s="7"/>
      <c r="F20" s="7">
        <f>F13-F14-F15-F16-F17-F18-F19</f>
        <v>24330.73005093378</v>
      </c>
      <c r="G20" s="58">
        <f>F20*G9/F9</f>
        <v>9.4623968306371715</v>
      </c>
      <c r="H20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54" zoomScale="310" zoomScaleNormal="310" workbookViewId="0">
      <selection activeCell="F55" sqref="F55"/>
    </sheetView>
  </sheetViews>
  <sheetFormatPr defaultRowHeight="15" x14ac:dyDescent="0.25"/>
  <cols>
    <col min="1" max="1" width="14.85546875" customWidth="1"/>
    <col min="3" max="4" width="9.140625" style="7"/>
  </cols>
  <sheetData>
    <row r="1" spans="1:5" x14ac:dyDescent="0.25">
      <c r="A1" t="s">
        <v>211</v>
      </c>
    </row>
    <row r="3" spans="1:5" x14ac:dyDescent="0.25">
      <c r="A3" t="s">
        <v>210</v>
      </c>
    </row>
    <row r="4" spans="1:5" x14ac:dyDescent="0.25">
      <c r="A4" t="s">
        <v>209</v>
      </c>
    </row>
    <row r="6" spans="1:5" x14ac:dyDescent="0.25">
      <c r="A6" s="61" t="s">
        <v>208</v>
      </c>
    </row>
    <row r="7" spans="1:5" x14ac:dyDescent="0.25">
      <c r="A7" t="s">
        <v>207</v>
      </c>
      <c r="B7">
        <v>12500</v>
      </c>
      <c r="C7" s="7" t="s">
        <v>2</v>
      </c>
      <c r="E7">
        <f>+E8*1</f>
        <v>0.05</v>
      </c>
    </row>
    <row r="8" spans="1:5" x14ac:dyDescent="0.25">
      <c r="A8" s="34" t="s">
        <v>206</v>
      </c>
      <c r="B8" s="34">
        <v>5</v>
      </c>
      <c r="C8" s="62" t="s">
        <v>3</v>
      </c>
      <c r="E8" s="60">
        <v>0.05</v>
      </c>
    </row>
    <row r="9" spans="1:5" x14ac:dyDescent="0.25">
      <c r="A9" t="s">
        <v>117</v>
      </c>
    </row>
    <row r="10" spans="1:5" x14ac:dyDescent="0.25">
      <c r="A10" t="s">
        <v>205</v>
      </c>
      <c r="B10" s="4">
        <f>B7*B8/100</f>
        <v>625</v>
      </c>
      <c r="C10" s="7" t="s">
        <v>2</v>
      </c>
    </row>
    <row r="11" spans="1:5" x14ac:dyDescent="0.25">
      <c r="A11" t="s">
        <v>204</v>
      </c>
      <c r="B11" s="4">
        <f>B10/12*4</f>
        <v>208.33333333333334</v>
      </c>
      <c r="C11" s="7" t="s">
        <v>203</v>
      </c>
    </row>
    <row r="12" spans="1:5" x14ac:dyDescent="0.25">
      <c r="A12" t="s">
        <v>202</v>
      </c>
      <c r="B12" s="4">
        <f>B10/360*35</f>
        <v>60.763888888888893</v>
      </c>
      <c r="C12" s="7" t="s">
        <v>201</v>
      </c>
    </row>
    <row r="16" spans="1:5" x14ac:dyDescent="0.25">
      <c r="A16" t="s">
        <v>205</v>
      </c>
      <c r="B16" s="4">
        <f>13000*6.5/100</f>
        <v>845</v>
      </c>
      <c r="C16" s="7" t="s">
        <v>2</v>
      </c>
    </row>
    <row r="17" spans="1:7" x14ac:dyDescent="0.25">
      <c r="A17" t="s">
        <v>212</v>
      </c>
      <c r="B17" s="4">
        <f>B16/360*14</f>
        <v>32.861111111111114</v>
      </c>
      <c r="C17" s="7" t="s">
        <v>2</v>
      </c>
    </row>
    <row r="19" spans="1:7" x14ac:dyDescent="0.25">
      <c r="A19" t="s">
        <v>213</v>
      </c>
      <c r="B19" s="4">
        <f>3400*7.5/100</f>
        <v>255</v>
      </c>
      <c r="C19" s="7" t="s">
        <v>2</v>
      </c>
    </row>
    <row r="20" spans="1:7" x14ac:dyDescent="0.25">
      <c r="A20" t="s">
        <v>214</v>
      </c>
      <c r="B20" s="4">
        <f>+B19/12*2.5</f>
        <v>53.125</v>
      </c>
      <c r="C20" s="7" t="s">
        <v>2</v>
      </c>
    </row>
    <row r="22" spans="1:7" x14ac:dyDescent="0.25">
      <c r="A22" t="s">
        <v>215</v>
      </c>
    </row>
    <row r="23" spans="1:7" x14ac:dyDescent="0.25">
      <c r="A23" t="s">
        <v>216</v>
      </c>
    </row>
    <row r="24" spans="1:7" x14ac:dyDescent="0.25">
      <c r="A24" t="s">
        <v>217</v>
      </c>
    </row>
    <row r="25" spans="1:7" x14ac:dyDescent="0.25">
      <c r="A25" t="s">
        <v>218</v>
      </c>
    </row>
    <row r="27" spans="1:7" x14ac:dyDescent="0.25">
      <c r="A27" t="s">
        <v>219</v>
      </c>
    </row>
    <row r="28" spans="1:7" x14ac:dyDescent="0.25">
      <c r="A28" t="s">
        <v>220</v>
      </c>
      <c r="B28">
        <f>65/2*12</f>
        <v>390</v>
      </c>
      <c r="C28" s="7" t="s">
        <v>2</v>
      </c>
    </row>
    <row r="29" spans="1:7" ht="15.75" thickBot="1" x14ac:dyDescent="0.3">
      <c r="A29" s="24" t="s">
        <v>221</v>
      </c>
      <c r="B29" s="24">
        <v>20</v>
      </c>
      <c r="C29" s="7" t="s">
        <v>2</v>
      </c>
    </row>
    <row r="30" spans="1:7" x14ac:dyDescent="0.25">
      <c r="A30" s="63" t="s">
        <v>85</v>
      </c>
      <c r="B30" s="34">
        <f>+B28+B29</f>
        <v>410</v>
      </c>
      <c r="C30" s="7" t="s">
        <v>2</v>
      </c>
    </row>
    <row r="31" spans="1:7" x14ac:dyDescent="0.25">
      <c r="D31" s="7">
        <v>500</v>
      </c>
      <c r="E31" t="s">
        <v>2</v>
      </c>
      <c r="F31">
        <v>100</v>
      </c>
      <c r="G31" t="s">
        <v>3</v>
      </c>
    </row>
    <row r="32" spans="1:7" x14ac:dyDescent="0.25">
      <c r="A32" t="s">
        <v>222</v>
      </c>
      <c r="B32">
        <f>+B30*100/500</f>
        <v>82</v>
      </c>
      <c r="C32" s="7" t="s">
        <v>3</v>
      </c>
      <c r="D32" s="7">
        <v>410</v>
      </c>
      <c r="E32" t="s">
        <v>2</v>
      </c>
      <c r="F32" t="s">
        <v>223</v>
      </c>
      <c r="G32" t="s">
        <v>3</v>
      </c>
    </row>
    <row r="35" spans="1:7" x14ac:dyDescent="0.25">
      <c r="A35" t="s">
        <v>224</v>
      </c>
    </row>
    <row r="36" spans="1:7" x14ac:dyDescent="0.25">
      <c r="A36" t="s">
        <v>225</v>
      </c>
    </row>
    <row r="37" spans="1:7" x14ac:dyDescent="0.25">
      <c r="A37" t="s">
        <v>226</v>
      </c>
    </row>
    <row r="39" spans="1:7" x14ac:dyDescent="0.25">
      <c r="B39" t="s">
        <v>227</v>
      </c>
      <c r="C39" s="7" t="s">
        <v>229</v>
      </c>
      <c r="D39" s="7" t="s">
        <v>228</v>
      </c>
    </row>
    <row r="40" spans="1:7" x14ac:dyDescent="0.25">
      <c r="A40" s="34" t="s">
        <v>230</v>
      </c>
      <c r="B40" s="34">
        <v>5000</v>
      </c>
      <c r="C40" s="62">
        <f>+B40*0.06</f>
        <v>300</v>
      </c>
      <c r="D40" s="62">
        <f>+B40+C40</f>
        <v>5300</v>
      </c>
      <c r="E40" s="34" t="s">
        <v>2</v>
      </c>
      <c r="F40" s="4">
        <f>5000*1.06*1.06*1.06</f>
        <v>5955.08</v>
      </c>
    </row>
    <row r="41" spans="1:7" x14ac:dyDescent="0.25">
      <c r="A41" s="34" t="s">
        <v>231</v>
      </c>
      <c r="B41" s="34">
        <f>+D40</f>
        <v>5300</v>
      </c>
      <c r="C41" s="62">
        <f>+B41*0.06</f>
        <v>318</v>
      </c>
      <c r="D41" s="62">
        <f>+B41+C41</f>
        <v>5618</v>
      </c>
      <c r="E41" s="34" t="s">
        <v>2</v>
      </c>
      <c r="F41">
        <f>5000*1.06^3</f>
        <v>5955.0800000000017</v>
      </c>
    </row>
    <row r="42" spans="1:7" x14ac:dyDescent="0.25">
      <c r="A42" s="34" t="s">
        <v>232</v>
      </c>
      <c r="B42" s="34">
        <f>+D41</f>
        <v>5618</v>
      </c>
      <c r="C42" s="62">
        <f>+B42*0.06</f>
        <v>337.08</v>
      </c>
      <c r="D42" s="64">
        <f>+B42+C42</f>
        <v>5955.08</v>
      </c>
      <c r="E42" s="34" t="s">
        <v>2</v>
      </c>
    </row>
    <row r="43" spans="1:7" x14ac:dyDescent="0.25">
      <c r="B43">
        <f>+D42</f>
        <v>5955.08</v>
      </c>
      <c r="C43" s="7">
        <f>+B43*0.06</f>
        <v>357.3048</v>
      </c>
      <c r="D43" s="7">
        <f>+B43+C43</f>
        <v>6312.3847999999998</v>
      </c>
      <c r="E43" t="s">
        <v>2</v>
      </c>
    </row>
    <row r="44" spans="1:7" x14ac:dyDescent="0.25">
      <c r="B44">
        <f t="shared" ref="B44:B46" si="0">+D43</f>
        <v>6312.3847999999998</v>
      </c>
      <c r="C44" s="7">
        <f t="shared" ref="C44:C46" si="1">+B44*0.06</f>
        <v>378.743088</v>
      </c>
      <c r="D44" s="7">
        <f t="shared" ref="D44:D46" si="2">+B44+C44</f>
        <v>6691.127888</v>
      </c>
      <c r="E44" t="s">
        <v>2</v>
      </c>
      <c r="F44" t="s">
        <v>233</v>
      </c>
    </row>
    <row r="45" spans="1:7" x14ac:dyDescent="0.25">
      <c r="B45">
        <f t="shared" si="0"/>
        <v>6691.127888</v>
      </c>
      <c r="C45" s="7">
        <f t="shared" si="1"/>
        <v>401.46767327999999</v>
      </c>
      <c r="D45" s="7">
        <f t="shared" si="2"/>
        <v>7092.5955612799999</v>
      </c>
      <c r="E45" t="s">
        <v>2</v>
      </c>
      <c r="F45" s="4">
        <f>B40*1.06^40</f>
        <v>51428.589685629646</v>
      </c>
      <c r="G45" t="s">
        <v>2</v>
      </c>
    </row>
    <row r="46" spans="1:7" x14ac:dyDescent="0.25">
      <c r="B46">
        <f t="shared" si="0"/>
        <v>7092.5955612799999</v>
      </c>
      <c r="C46" s="7">
        <f t="shared" si="1"/>
        <v>425.5557336768</v>
      </c>
      <c r="D46" s="7">
        <f t="shared" si="2"/>
        <v>7518.1512949567996</v>
      </c>
      <c r="E46" t="s">
        <v>2</v>
      </c>
    </row>
    <row r="48" spans="1:7" x14ac:dyDescent="0.25">
      <c r="A48" t="s">
        <v>227</v>
      </c>
      <c r="B48" t="s">
        <v>234</v>
      </c>
    </row>
    <row r="49" spans="1:6" x14ac:dyDescent="0.25">
      <c r="A49">
        <v>12000</v>
      </c>
      <c r="B49" s="7">
        <f>+A49*1.02^8</f>
        <v>14059.912572027186</v>
      </c>
      <c r="C49" s="7">
        <v>2</v>
      </c>
      <c r="D49" s="7" t="s">
        <v>3</v>
      </c>
    </row>
    <row r="50" spans="1:6" x14ac:dyDescent="0.25">
      <c r="A50">
        <v>12000</v>
      </c>
      <c r="B50" s="7">
        <f>+A50*1.06^8</f>
        <v>19126.176894370106</v>
      </c>
      <c r="C50" s="7">
        <v>6</v>
      </c>
      <c r="D50" s="7" t="s">
        <v>3</v>
      </c>
    </row>
    <row r="55" spans="1:6" x14ac:dyDescent="0.25">
      <c r="A55" t="s">
        <v>235</v>
      </c>
      <c r="F55" t="s">
        <v>245</v>
      </c>
    </row>
    <row r="56" spans="1:6" x14ac:dyDescent="0.25">
      <c r="A56" t="s">
        <v>236</v>
      </c>
    </row>
    <row r="57" spans="1:6" x14ac:dyDescent="0.25">
      <c r="A57" s="34" t="s">
        <v>237</v>
      </c>
    </row>
    <row r="59" spans="1:6" x14ac:dyDescent="0.25">
      <c r="A59" t="s">
        <v>235</v>
      </c>
      <c r="B59" s="4">
        <f>6000/1.04/1.04/1.04</f>
        <v>5333.9781520254883</v>
      </c>
      <c r="C59" s="7" t="s">
        <v>2</v>
      </c>
      <c r="D59" s="7" t="s">
        <v>238</v>
      </c>
      <c r="E59" s="4">
        <f>6000/1.04^3</f>
        <v>5333.9781520254892</v>
      </c>
      <c r="F59" t="s">
        <v>2</v>
      </c>
    </row>
    <row r="62" spans="1:6" x14ac:dyDescent="0.25">
      <c r="A62" t="s">
        <v>239</v>
      </c>
    </row>
    <row r="63" spans="1:6" x14ac:dyDescent="0.25">
      <c r="A63" t="s">
        <v>227</v>
      </c>
      <c r="B63" s="7">
        <v>80000</v>
      </c>
    </row>
    <row r="64" spans="1:6" x14ac:dyDescent="0.25">
      <c r="A64" t="s">
        <v>206</v>
      </c>
      <c r="B64">
        <v>7</v>
      </c>
      <c r="C64" s="7" t="s">
        <v>3</v>
      </c>
    </row>
    <row r="65" spans="1:7" x14ac:dyDescent="0.25">
      <c r="A65" t="s">
        <v>240</v>
      </c>
    </row>
    <row r="67" spans="1:7" x14ac:dyDescent="0.25">
      <c r="A67" s="18" t="s">
        <v>241</v>
      </c>
      <c r="B67" s="18" t="s">
        <v>242</v>
      </c>
      <c r="C67" s="65" t="s">
        <v>244</v>
      </c>
      <c r="D67" s="65" t="s">
        <v>243</v>
      </c>
      <c r="E67" s="66" t="s">
        <v>228</v>
      </c>
    </row>
    <row r="68" spans="1:7" x14ac:dyDescent="0.25">
      <c r="A68" t="s">
        <v>230</v>
      </c>
      <c r="B68" s="7">
        <v>80000</v>
      </c>
      <c r="C68" s="7">
        <f>+B68*0.07</f>
        <v>5600.0000000000009</v>
      </c>
      <c r="D68" s="7">
        <f>80000/10</f>
        <v>8000</v>
      </c>
      <c r="E68" s="62">
        <f>+C68+D68</f>
        <v>13600</v>
      </c>
    </row>
    <row r="69" spans="1:7" x14ac:dyDescent="0.25">
      <c r="A69" t="s">
        <v>231</v>
      </c>
      <c r="B69" s="7">
        <f>+B68-D68</f>
        <v>72000</v>
      </c>
      <c r="C69" s="7">
        <f>+B69*0.07</f>
        <v>5040.0000000000009</v>
      </c>
      <c r="D69" s="7">
        <f t="shared" ref="D69:D70" si="3">80000/10</f>
        <v>8000</v>
      </c>
      <c r="E69" s="62">
        <f>+C69+D69</f>
        <v>13040</v>
      </c>
    </row>
    <row r="70" spans="1:7" x14ac:dyDescent="0.25">
      <c r="A70" t="s">
        <v>232</v>
      </c>
      <c r="B70" s="7">
        <f>+B69-D69</f>
        <v>64000</v>
      </c>
      <c r="C70" s="7">
        <f>+B70*0.07</f>
        <v>4480</v>
      </c>
      <c r="D70" s="7">
        <f t="shared" si="3"/>
        <v>8000</v>
      </c>
      <c r="E70" s="62">
        <f>+C70+D70</f>
        <v>12480</v>
      </c>
    </row>
    <row r="74" spans="1:7" x14ac:dyDescent="0.25">
      <c r="A74" t="s">
        <v>246</v>
      </c>
    </row>
    <row r="75" spans="1:7" x14ac:dyDescent="0.25">
      <c r="C75" s="7" t="s">
        <v>251</v>
      </c>
      <c r="D75" s="7" t="s">
        <v>235</v>
      </c>
    </row>
    <row r="76" spans="1:7" x14ac:dyDescent="0.25">
      <c r="A76" t="s">
        <v>247</v>
      </c>
      <c r="B76" s="7">
        <v>5400</v>
      </c>
      <c r="D76" s="8">
        <f>+B76/1.04</f>
        <v>5192.3076923076924</v>
      </c>
      <c r="E76" t="s">
        <v>252</v>
      </c>
    </row>
    <row r="77" spans="1:7" x14ac:dyDescent="0.25">
      <c r="A77" t="s">
        <v>248</v>
      </c>
      <c r="B77" s="7">
        <v>5600</v>
      </c>
      <c r="D77" s="8">
        <f>+B77/1.04/1.04</f>
        <v>5177.5147928994083</v>
      </c>
      <c r="E77" t="s">
        <v>254</v>
      </c>
      <c r="G77" t="s">
        <v>253</v>
      </c>
    </row>
    <row r="78" spans="1:7" x14ac:dyDescent="0.25">
      <c r="A78" t="s">
        <v>249</v>
      </c>
      <c r="B78" s="7">
        <v>6500</v>
      </c>
      <c r="D78" s="8">
        <f>B78/1.04^3</f>
        <v>5778.4763313609465</v>
      </c>
    </row>
    <row r="79" spans="1:7" x14ac:dyDescent="0.25">
      <c r="A79" s="21" t="s">
        <v>250</v>
      </c>
      <c r="B79" s="67">
        <v>6200</v>
      </c>
      <c r="C79" s="67"/>
      <c r="D79" s="71">
        <f>+B79/1.04^4</f>
        <v>5299.7859843842989</v>
      </c>
      <c r="E79" s="21"/>
    </row>
    <row r="80" spans="1:7" x14ac:dyDescent="0.25">
      <c r="B80" s="7">
        <f>SUM(B76:B79)</f>
        <v>23700</v>
      </c>
      <c r="D80" s="8">
        <f>SUM(D76:D79)</f>
        <v>21448.084800952347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16" zoomScale="385" zoomScaleNormal="385" workbookViewId="0">
      <selection activeCell="D23" sqref="D23"/>
    </sheetView>
  </sheetViews>
  <sheetFormatPr defaultRowHeight="15" x14ac:dyDescent="0.25"/>
  <cols>
    <col min="1" max="1" width="18.85546875" customWidth="1"/>
    <col min="2" max="2" width="11.140625" customWidth="1"/>
    <col min="4" max="4" width="11.5703125" bestFit="1" customWidth="1"/>
  </cols>
  <sheetData>
    <row r="1" spans="1:5" x14ac:dyDescent="0.25">
      <c r="A1" t="s">
        <v>255</v>
      </c>
    </row>
    <row r="3" spans="1:5" x14ac:dyDescent="0.25">
      <c r="A3" t="s">
        <v>256</v>
      </c>
    </row>
    <row r="4" spans="1:5" x14ac:dyDescent="0.25">
      <c r="A4" t="s">
        <v>257</v>
      </c>
    </row>
    <row r="6" spans="1:5" x14ac:dyDescent="0.25">
      <c r="A6" t="s">
        <v>208</v>
      </c>
    </row>
    <row r="8" spans="1:5" x14ac:dyDescent="0.25">
      <c r="A8" t="s">
        <v>261</v>
      </c>
    </row>
    <row r="9" spans="1:5" x14ac:dyDescent="0.25">
      <c r="A9" t="s">
        <v>258</v>
      </c>
    </row>
    <row r="10" spans="1:5" x14ac:dyDescent="0.25">
      <c r="A10" t="s">
        <v>259</v>
      </c>
    </row>
    <row r="11" spans="1:5" x14ac:dyDescent="0.25">
      <c r="A11" t="s">
        <v>260</v>
      </c>
    </row>
    <row r="13" spans="1:5" x14ac:dyDescent="0.25">
      <c r="C13" t="s">
        <v>264</v>
      </c>
      <c r="D13" t="s">
        <v>265</v>
      </c>
    </row>
    <row r="14" spans="1:5" x14ac:dyDescent="0.25">
      <c r="A14" t="s">
        <v>269</v>
      </c>
      <c r="B14" s="72" t="s">
        <v>262</v>
      </c>
      <c r="C14">
        <v>1840</v>
      </c>
      <c r="D14" s="4">
        <v>450</v>
      </c>
    </row>
    <row r="15" spans="1:5" x14ac:dyDescent="0.25">
      <c r="B15" t="s">
        <v>263</v>
      </c>
      <c r="C15">
        <v>1923</v>
      </c>
      <c r="D15" s="3">
        <f>C15*D14/C14</f>
        <v>470.29891304347825</v>
      </c>
      <c r="E15" t="s">
        <v>268</v>
      </c>
    </row>
    <row r="18" spans="1:5" x14ac:dyDescent="0.25">
      <c r="A18" t="s">
        <v>270</v>
      </c>
      <c r="B18" t="s">
        <v>271</v>
      </c>
      <c r="C18">
        <v>450</v>
      </c>
      <c r="D18">
        <v>100</v>
      </c>
    </row>
    <row r="19" spans="1:5" x14ac:dyDescent="0.25">
      <c r="B19" s="21" t="s">
        <v>272</v>
      </c>
      <c r="C19" s="68">
        <f>+C20-C18</f>
        <v>20.298913043478251</v>
      </c>
      <c r="D19" s="73">
        <f>C19*D18/C18</f>
        <v>4.5108695652173889</v>
      </c>
      <c r="E19" t="s">
        <v>274</v>
      </c>
    </row>
    <row r="20" spans="1:5" x14ac:dyDescent="0.25">
      <c r="B20" t="s">
        <v>273</v>
      </c>
      <c r="C20" s="4">
        <f>+D15</f>
        <v>470.29891304347825</v>
      </c>
    </row>
    <row r="22" spans="1:5" x14ac:dyDescent="0.25">
      <c r="B22" t="s">
        <v>271</v>
      </c>
      <c r="C22">
        <f>+C14</f>
        <v>1840</v>
      </c>
      <c r="D22">
        <v>100</v>
      </c>
    </row>
    <row r="23" spans="1:5" x14ac:dyDescent="0.25">
      <c r="B23" s="21" t="s">
        <v>272</v>
      </c>
      <c r="C23" s="67">
        <f>+C24-C22</f>
        <v>83</v>
      </c>
      <c r="D23" s="73">
        <f>C23*D22/C22</f>
        <v>4.5108695652173916</v>
      </c>
    </row>
    <row r="24" spans="1:5" x14ac:dyDescent="0.25">
      <c r="B24" t="s">
        <v>273</v>
      </c>
      <c r="C24" s="7">
        <f>+C15</f>
        <v>1923</v>
      </c>
    </row>
    <row r="27" spans="1:5" x14ac:dyDescent="0.25">
      <c r="A27" t="s">
        <v>4</v>
      </c>
    </row>
    <row r="28" spans="1:5" x14ac:dyDescent="0.25">
      <c r="A28" t="s">
        <v>266</v>
      </c>
    </row>
    <row r="29" spans="1:5" x14ac:dyDescent="0.25">
      <c r="A29" t="s">
        <v>267</v>
      </c>
    </row>
    <row r="31" spans="1:5" x14ac:dyDescent="0.25">
      <c r="B31" s="72" t="s">
        <v>279</v>
      </c>
      <c r="C31">
        <v>1925</v>
      </c>
      <c r="D31" s="4">
        <v>22000</v>
      </c>
      <c r="E31" t="s">
        <v>2</v>
      </c>
    </row>
    <row r="32" spans="1:5" x14ac:dyDescent="0.25">
      <c r="B32" t="s">
        <v>280</v>
      </c>
      <c r="C32">
        <v>132</v>
      </c>
      <c r="D32" s="4">
        <f>C32*D31/C31</f>
        <v>1508.5714285714287</v>
      </c>
      <c r="E32" t="s">
        <v>2</v>
      </c>
    </row>
    <row r="34" spans="1:5" x14ac:dyDescent="0.25">
      <c r="C34" t="s">
        <v>281</v>
      </c>
      <c r="D34" s="4">
        <f>D32*E34</f>
        <v>9051.4285714285725</v>
      </c>
      <c r="E34">
        <v>6</v>
      </c>
    </row>
    <row r="37" spans="1:5" x14ac:dyDescent="0.25">
      <c r="A37" t="s">
        <v>275</v>
      </c>
    </row>
    <row r="38" spans="1:5" x14ac:dyDescent="0.25">
      <c r="A38" t="s">
        <v>277</v>
      </c>
    </row>
    <row r="39" spans="1:5" x14ac:dyDescent="0.25">
      <c r="A39" t="s">
        <v>278</v>
      </c>
    </row>
    <row r="40" spans="1:5" x14ac:dyDescent="0.25">
      <c r="A40" t="s">
        <v>276</v>
      </c>
    </row>
    <row r="43" spans="1:5" x14ac:dyDescent="0.25">
      <c r="A43" t="s">
        <v>282</v>
      </c>
      <c r="B43" s="4">
        <v>12500</v>
      </c>
      <c r="C43">
        <v>1906</v>
      </c>
      <c r="D43" t="s">
        <v>290</v>
      </c>
    </row>
    <row r="44" spans="1:5" x14ac:dyDescent="0.25">
      <c r="A44" t="s">
        <v>283</v>
      </c>
      <c r="B44" s="4">
        <f>B43*C44/C43</f>
        <v>12690.188877229801</v>
      </c>
      <c r="C44">
        <v>1935</v>
      </c>
      <c r="D44" t="s">
        <v>291</v>
      </c>
    </row>
    <row r="46" spans="1:5" x14ac:dyDescent="0.25">
      <c r="A46" s="74" t="s">
        <v>284</v>
      </c>
    </row>
    <row r="48" spans="1:5" x14ac:dyDescent="0.25">
      <c r="A48" t="s">
        <v>111</v>
      </c>
      <c r="B48" s="4">
        <f>+B44</f>
        <v>12690.188877229801</v>
      </c>
      <c r="C48">
        <v>100</v>
      </c>
      <c r="D48" t="s">
        <v>3</v>
      </c>
    </row>
    <row r="49" spans="1:4" x14ac:dyDescent="0.25">
      <c r="A49" s="21" t="s">
        <v>285</v>
      </c>
      <c r="B49" s="68">
        <f>+B48-B50</f>
        <v>4190.1888772298007</v>
      </c>
      <c r="C49" s="75">
        <f>+B49*C48/B48</f>
        <v>33.019121447028425</v>
      </c>
      <c r="D49" t="s">
        <v>3</v>
      </c>
    </row>
    <row r="50" spans="1:4" x14ac:dyDescent="0.25">
      <c r="A50" t="s">
        <v>286</v>
      </c>
      <c r="B50" s="4">
        <v>8500</v>
      </c>
    </row>
    <row r="52" spans="1:4" x14ac:dyDescent="0.25">
      <c r="A52" t="s">
        <v>287</v>
      </c>
      <c r="B52" s="4">
        <v>6000</v>
      </c>
      <c r="C52">
        <v>100</v>
      </c>
    </row>
    <row r="53" spans="1:4" x14ac:dyDescent="0.25">
      <c r="A53" s="21" t="s">
        <v>288</v>
      </c>
      <c r="B53" s="68">
        <f>+B52*C53/100</f>
        <v>1981.1472868217056</v>
      </c>
      <c r="C53" s="70">
        <f>C49</f>
        <v>33.019121447028425</v>
      </c>
      <c r="D53" t="s">
        <v>293</v>
      </c>
    </row>
    <row r="54" spans="1:4" x14ac:dyDescent="0.25">
      <c r="A54" t="s">
        <v>289</v>
      </c>
      <c r="B54" s="3">
        <f>+B52-B53</f>
        <v>4018.8527131782944</v>
      </c>
      <c r="C54" s="69">
        <f>+C52-C53</f>
        <v>66.980878552971575</v>
      </c>
      <c r="D54" t="s">
        <v>292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10" zoomScale="385" zoomScaleNormal="385" workbookViewId="0">
      <selection activeCell="C19" sqref="C19"/>
    </sheetView>
  </sheetViews>
  <sheetFormatPr defaultRowHeight="15" x14ac:dyDescent="0.25"/>
  <cols>
    <col min="1" max="1" width="18.140625" customWidth="1"/>
    <col min="3" max="3" width="8.28515625" customWidth="1"/>
  </cols>
  <sheetData>
    <row r="1" spans="1:4" x14ac:dyDescent="0.25">
      <c r="A1" t="s">
        <v>294</v>
      </c>
    </row>
    <row r="3" spans="1:4" x14ac:dyDescent="0.25">
      <c r="A3" t="s">
        <v>295</v>
      </c>
    </row>
    <row r="5" spans="1:4" x14ac:dyDescent="0.25">
      <c r="A5" t="s">
        <v>155</v>
      </c>
      <c r="B5" s="4">
        <v>25</v>
      </c>
      <c r="C5">
        <f>+C6+C7</f>
        <v>124</v>
      </c>
    </row>
    <row r="6" spans="1:4" x14ac:dyDescent="0.25">
      <c r="A6" s="21" t="s">
        <v>152</v>
      </c>
      <c r="B6" s="68"/>
      <c r="C6" s="21">
        <v>24</v>
      </c>
    </row>
    <row r="7" spans="1:4" x14ac:dyDescent="0.25">
      <c r="A7" t="s">
        <v>153</v>
      </c>
      <c r="B7" s="4">
        <f>+B5*C7/C5</f>
        <v>20.161290322580644</v>
      </c>
      <c r="C7">
        <v>100</v>
      </c>
      <c r="D7" t="s">
        <v>299</v>
      </c>
    </row>
    <row r="8" spans="1:4" x14ac:dyDescent="0.25">
      <c r="A8" s="21" t="s">
        <v>298</v>
      </c>
      <c r="B8" s="68">
        <v>3.2</v>
      </c>
      <c r="C8" s="21"/>
    </row>
    <row r="9" spans="1:4" x14ac:dyDescent="0.25">
      <c r="A9" t="s">
        <v>149</v>
      </c>
      <c r="B9" s="4">
        <f>+B7-B8</f>
        <v>16.961290322580645</v>
      </c>
      <c r="C9" s="56">
        <f>+B9*C7/B7</f>
        <v>84.128</v>
      </c>
      <c r="D9" t="s">
        <v>300</v>
      </c>
    </row>
    <row r="12" spans="1:4" x14ac:dyDescent="0.25">
      <c r="A12" t="s">
        <v>296</v>
      </c>
    </row>
    <row r="13" spans="1:4" x14ac:dyDescent="0.25">
      <c r="A13" t="s">
        <v>297</v>
      </c>
    </row>
    <row r="15" spans="1:4" x14ac:dyDescent="0.25">
      <c r="A15" t="s">
        <v>155</v>
      </c>
      <c r="B15" s="3">
        <f>B17*C15/C17</f>
        <v>13.285714285714285</v>
      </c>
      <c r="C15">
        <f>+C16+C17</f>
        <v>124</v>
      </c>
      <c r="D15" t="s">
        <v>302</v>
      </c>
    </row>
    <row r="16" spans="1:4" x14ac:dyDescent="0.25">
      <c r="A16" s="21" t="s">
        <v>152</v>
      </c>
      <c r="B16" s="68"/>
      <c r="C16" s="21">
        <v>24</v>
      </c>
    </row>
    <row r="17" spans="1:4" x14ac:dyDescent="0.25">
      <c r="A17" t="s">
        <v>153</v>
      </c>
      <c r="B17" s="4">
        <f>+B18*C17/C18</f>
        <v>10.714285714285714</v>
      </c>
      <c r="C17">
        <v>100</v>
      </c>
      <c r="D17" t="s">
        <v>301</v>
      </c>
    </row>
    <row r="18" spans="1:4" x14ac:dyDescent="0.25">
      <c r="A18" s="21" t="s">
        <v>298</v>
      </c>
      <c r="B18" s="68">
        <v>3</v>
      </c>
      <c r="C18" s="21">
        <f>+C17-C19</f>
        <v>28</v>
      </c>
    </row>
    <row r="19" spans="1:4" x14ac:dyDescent="0.25">
      <c r="A19" t="s">
        <v>149</v>
      </c>
      <c r="B19" s="4">
        <f>+B17-B18</f>
        <v>7.7142857142857135</v>
      </c>
      <c r="C19" s="76">
        <v>72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0" zoomScale="250" zoomScaleNormal="250" workbookViewId="0">
      <selection activeCell="A36" sqref="A36"/>
    </sheetView>
  </sheetViews>
  <sheetFormatPr defaultRowHeight="15" x14ac:dyDescent="0.25"/>
  <cols>
    <col min="1" max="1" width="20.42578125" customWidth="1"/>
  </cols>
  <sheetData>
    <row r="1" spans="1:7" x14ac:dyDescent="0.25">
      <c r="A1" t="s">
        <v>0</v>
      </c>
    </row>
    <row r="3" spans="1:7" x14ac:dyDescent="0.25">
      <c r="A3" t="s">
        <v>1</v>
      </c>
      <c r="B3">
        <v>200</v>
      </c>
      <c r="C3" t="s">
        <v>2</v>
      </c>
      <c r="D3">
        <v>100</v>
      </c>
      <c r="E3" t="s">
        <v>3</v>
      </c>
      <c r="G3" s="1">
        <v>1</v>
      </c>
    </row>
    <row r="4" spans="1:7" x14ac:dyDescent="0.25">
      <c r="B4">
        <v>33</v>
      </c>
      <c r="C4" t="s">
        <v>2</v>
      </c>
      <c r="D4" s="2">
        <f>B4*D3/B3</f>
        <v>16.5</v>
      </c>
      <c r="E4" t="s">
        <v>5</v>
      </c>
    </row>
    <row r="6" spans="1:7" x14ac:dyDescent="0.25">
      <c r="A6" t="s">
        <v>4</v>
      </c>
    </row>
    <row r="7" spans="1:7" x14ac:dyDescent="0.25">
      <c r="B7">
        <v>300</v>
      </c>
      <c r="C7" t="s">
        <v>2</v>
      </c>
      <c r="D7">
        <v>100</v>
      </c>
      <c r="E7" t="s">
        <v>3</v>
      </c>
    </row>
    <row r="8" spans="1:7" x14ac:dyDescent="0.25">
      <c r="B8" s="2">
        <f>B7*D8/D7</f>
        <v>42</v>
      </c>
      <c r="C8" t="s">
        <v>2</v>
      </c>
      <c r="D8">
        <v>14</v>
      </c>
      <c r="E8" t="s">
        <v>6</v>
      </c>
    </row>
    <row r="10" spans="1:7" x14ac:dyDescent="0.25">
      <c r="A10" t="s">
        <v>7</v>
      </c>
    </row>
    <row r="12" spans="1:7" x14ac:dyDescent="0.25">
      <c r="B12" s="3">
        <f>+B13*D12/D13</f>
        <v>58.441558441558442</v>
      </c>
      <c r="D12">
        <v>100</v>
      </c>
      <c r="E12" t="s">
        <v>8</v>
      </c>
    </row>
    <row r="13" spans="1:7" x14ac:dyDescent="0.25">
      <c r="B13" s="4">
        <v>45</v>
      </c>
      <c r="C13" t="s">
        <v>2</v>
      </c>
      <c r="D13">
        <v>77</v>
      </c>
      <c r="E13" t="s">
        <v>3</v>
      </c>
    </row>
    <row r="15" spans="1:7" x14ac:dyDescent="0.25">
      <c r="A15" t="s">
        <v>9</v>
      </c>
    </row>
    <row r="16" spans="1:7" x14ac:dyDescent="0.25">
      <c r="A16" s="5" t="s">
        <v>12</v>
      </c>
      <c r="B16" s="5"/>
      <c r="C16" s="5"/>
      <c r="D16" s="5">
        <v>100</v>
      </c>
    </row>
    <row r="17" spans="1:5" x14ac:dyDescent="0.25">
      <c r="A17" t="s">
        <v>10</v>
      </c>
      <c r="B17">
        <v>5</v>
      </c>
      <c r="C17" t="s">
        <v>2</v>
      </c>
      <c r="D17">
        <v>35</v>
      </c>
      <c r="E17" t="s">
        <v>3</v>
      </c>
    </row>
    <row r="18" spans="1:5" x14ac:dyDescent="0.25">
      <c r="A18" t="s">
        <v>11</v>
      </c>
      <c r="B18" s="3">
        <f>B17*D18/D17</f>
        <v>9.2857142857142865</v>
      </c>
      <c r="C18" t="s">
        <v>2</v>
      </c>
      <c r="D18">
        <f>+D16-D17</f>
        <v>65</v>
      </c>
      <c r="E18" t="s">
        <v>13</v>
      </c>
    </row>
    <row r="22" spans="1:5" x14ac:dyDescent="0.25">
      <c r="A22" t="s">
        <v>14</v>
      </c>
      <c r="B22" t="s">
        <v>16</v>
      </c>
    </row>
    <row r="23" spans="1:5" x14ac:dyDescent="0.25">
      <c r="B23" t="s">
        <v>15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8"/>
  <sheetViews>
    <sheetView zoomScale="205" zoomScaleNormal="205" workbookViewId="0"/>
  </sheetViews>
  <sheetFormatPr defaultRowHeight="15" x14ac:dyDescent="0.25"/>
  <cols>
    <col min="1" max="1" width="18.28515625" customWidth="1"/>
    <col min="2" max="2" width="10.140625" bestFit="1" customWidth="1"/>
  </cols>
  <sheetData>
    <row r="3" spans="1:4" x14ac:dyDescent="0.25">
      <c r="A3">
        <v>1</v>
      </c>
    </row>
    <row r="5" spans="1:4" x14ac:dyDescent="0.25">
      <c r="A5" t="s">
        <v>29</v>
      </c>
      <c r="B5">
        <v>55</v>
      </c>
      <c r="C5">
        <v>100</v>
      </c>
      <c r="D5" t="s">
        <v>3</v>
      </c>
    </row>
    <row r="6" spans="1:4" x14ac:dyDescent="0.25">
      <c r="A6" s="21" t="s">
        <v>34</v>
      </c>
      <c r="B6" s="21">
        <v>3</v>
      </c>
      <c r="C6" s="20">
        <f>B6*C5/B5</f>
        <v>5.4545454545454541</v>
      </c>
      <c r="D6" t="s">
        <v>3</v>
      </c>
    </row>
    <row r="7" spans="1:4" x14ac:dyDescent="0.25">
      <c r="A7" t="s">
        <v>33</v>
      </c>
      <c r="B7">
        <f>+B5-B6</f>
        <v>52</v>
      </c>
      <c r="D7" t="s">
        <v>3</v>
      </c>
    </row>
    <row r="10" spans="1:4" ht="12.75" customHeight="1" x14ac:dyDescent="0.25">
      <c r="A10" t="s">
        <v>29</v>
      </c>
      <c r="B10">
        <f>+B7</f>
        <v>52</v>
      </c>
      <c r="C10">
        <v>100</v>
      </c>
      <c r="D10" t="s">
        <v>3</v>
      </c>
    </row>
    <row r="11" spans="1:4" ht="12.75" customHeight="1" x14ac:dyDescent="0.25">
      <c r="A11" s="17" t="s">
        <v>27</v>
      </c>
      <c r="B11" s="17"/>
      <c r="C11" s="17">
        <v>8</v>
      </c>
      <c r="D11" s="16" t="s">
        <v>3</v>
      </c>
    </row>
    <row r="12" spans="1:4" ht="12.75" customHeight="1" x14ac:dyDescent="0.25">
      <c r="A12" t="s">
        <v>25</v>
      </c>
      <c r="B12" s="19">
        <f>+B10*C12/C10</f>
        <v>56.16</v>
      </c>
      <c r="C12">
        <f>+C10+C11</f>
        <v>108</v>
      </c>
      <c r="D12" t="s">
        <v>3</v>
      </c>
    </row>
    <row r="15" spans="1:4" x14ac:dyDescent="0.25">
      <c r="A15" t="s">
        <v>32</v>
      </c>
    </row>
    <row r="16" spans="1:4" x14ac:dyDescent="0.25">
      <c r="A16" t="s">
        <v>29</v>
      </c>
      <c r="B16" s="18">
        <f>+B18*C16/C18</f>
        <v>31.25</v>
      </c>
      <c r="C16">
        <v>100</v>
      </c>
      <c r="D16" t="s">
        <v>31</v>
      </c>
    </row>
    <row r="17" spans="1:4" x14ac:dyDescent="0.25">
      <c r="A17" s="17" t="s">
        <v>27</v>
      </c>
      <c r="B17" s="17"/>
      <c r="C17" s="17">
        <v>12</v>
      </c>
      <c r="D17" s="16" t="s">
        <v>3</v>
      </c>
    </row>
    <row r="18" spans="1:4" x14ac:dyDescent="0.25">
      <c r="A18" t="s">
        <v>25</v>
      </c>
      <c r="B18" s="15">
        <v>35</v>
      </c>
      <c r="C18">
        <f>+C16+C17</f>
        <v>112</v>
      </c>
      <c r="D18" t="s">
        <v>3</v>
      </c>
    </row>
    <row r="20" spans="1:4" x14ac:dyDescent="0.25">
      <c r="A20" t="s">
        <v>30</v>
      </c>
    </row>
    <row r="21" spans="1:4" x14ac:dyDescent="0.25">
      <c r="A21" t="s">
        <v>29</v>
      </c>
      <c r="B21" s="14">
        <f>+B23-B22</f>
        <v>32.700000000000003</v>
      </c>
      <c r="C21">
        <v>100</v>
      </c>
      <c r="D21" t="s">
        <v>28</v>
      </c>
    </row>
    <row r="22" spans="1:4" x14ac:dyDescent="0.25">
      <c r="A22" s="13" t="s">
        <v>27</v>
      </c>
      <c r="B22" s="12">
        <v>2.2999999999999998</v>
      </c>
      <c r="C22" s="11"/>
      <c r="D22" s="10" t="s">
        <v>26</v>
      </c>
    </row>
    <row r="23" spans="1:4" x14ac:dyDescent="0.25">
      <c r="A23" t="s">
        <v>25</v>
      </c>
      <c r="B23" s="9">
        <v>35</v>
      </c>
      <c r="D23" t="s">
        <v>3</v>
      </c>
    </row>
    <row r="26" spans="1:4" x14ac:dyDescent="0.25">
      <c r="A26">
        <v>3</v>
      </c>
    </row>
    <row r="28" spans="1:4" x14ac:dyDescent="0.25">
      <c r="A28" t="s">
        <v>24</v>
      </c>
      <c r="B28" s="8">
        <f>+B29*C28/C29</f>
        <v>1166666.6666666667</v>
      </c>
      <c r="C28">
        <v>100</v>
      </c>
      <c r="D28" t="s">
        <v>23</v>
      </c>
    </row>
    <row r="29" spans="1:4" x14ac:dyDescent="0.25">
      <c r="A29" t="s">
        <v>22</v>
      </c>
      <c r="B29" s="7">
        <v>175000</v>
      </c>
      <c r="C29">
        <v>15</v>
      </c>
      <c r="D29" t="s">
        <v>3</v>
      </c>
    </row>
    <row r="33" spans="1:5" x14ac:dyDescent="0.25">
      <c r="A33" t="s">
        <v>21</v>
      </c>
      <c r="B33" s="4">
        <v>8500</v>
      </c>
      <c r="C33">
        <v>22</v>
      </c>
      <c r="D33" t="s">
        <v>3</v>
      </c>
    </row>
    <row r="34" spans="1:5" x14ac:dyDescent="0.25">
      <c r="A34" t="s">
        <v>20</v>
      </c>
      <c r="B34" s="3">
        <f>+B33*C34/C33</f>
        <v>38636.36363636364</v>
      </c>
      <c r="C34">
        <v>100</v>
      </c>
      <c r="D34" t="s">
        <v>19</v>
      </c>
    </row>
    <row r="35" spans="1:5" x14ac:dyDescent="0.25">
      <c r="B35" s="4"/>
    </row>
    <row r="36" spans="1:5" x14ac:dyDescent="0.25">
      <c r="A36" t="str">
        <f>+A34</f>
        <v>Kiinteät kulut</v>
      </c>
      <c r="B36" s="4">
        <f>+B34</f>
        <v>38636.36363636364</v>
      </c>
      <c r="C36">
        <v>28</v>
      </c>
      <c r="D36" t="s">
        <v>3</v>
      </c>
    </row>
    <row r="37" spans="1:5" x14ac:dyDescent="0.25">
      <c r="A37" t="s">
        <v>18</v>
      </c>
      <c r="B37" s="6">
        <f>+B36*C37/C36</f>
        <v>137987.012987013</v>
      </c>
      <c r="C37">
        <v>100</v>
      </c>
      <c r="D37" t="s">
        <v>17</v>
      </c>
    </row>
    <row r="41" spans="1:5" x14ac:dyDescent="0.25">
      <c r="A41" t="s">
        <v>29</v>
      </c>
      <c r="B41" s="3">
        <f>+B43*C41/C43</f>
        <v>448.59813084112147</v>
      </c>
      <c r="C41">
        <v>100</v>
      </c>
      <c r="D41" t="s">
        <v>35</v>
      </c>
    </row>
    <row r="42" spans="1:5" x14ac:dyDescent="0.25">
      <c r="A42" s="17" t="s">
        <v>27</v>
      </c>
      <c r="B42" s="17"/>
      <c r="C42" s="17">
        <v>7</v>
      </c>
      <c r="D42" s="16" t="s">
        <v>3</v>
      </c>
    </row>
    <row r="43" spans="1:5" x14ac:dyDescent="0.25">
      <c r="A43" t="s">
        <v>25</v>
      </c>
      <c r="B43" s="19">
        <f>+B46</f>
        <v>480</v>
      </c>
      <c r="C43">
        <f>+C41+C42</f>
        <v>107</v>
      </c>
      <c r="D43" t="s">
        <v>3</v>
      </c>
    </row>
    <row r="46" spans="1:5" x14ac:dyDescent="0.25">
      <c r="A46" t="s">
        <v>29</v>
      </c>
      <c r="B46" s="19">
        <f>+B48*C46/C48</f>
        <v>480</v>
      </c>
      <c r="C46">
        <v>100</v>
      </c>
      <c r="D46" t="s">
        <v>36</v>
      </c>
    </row>
    <row r="47" spans="1:5" x14ac:dyDescent="0.25">
      <c r="A47" s="17" t="s">
        <v>34</v>
      </c>
      <c r="B47" s="17"/>
      <c r="C47" s="22">
        <v>5</v>
      </c>
      <c r="D47" s="16" t="s">
        <v>3</v>
      </c>
    </row>
    <row r="48" spans="1:5" x14ac:dyDescent="0.25">
      <c r="A48" t="s">
        <v>33</v>
      </c>
      <c r="B48">
        <v>456</v>
      </c>
      <c r="C48" s="7">
        <f>+C46-C47</f>
        <v>95</v>
      </c>
      <c r="D48" t="s">
        <v>3</v>
      </c>
      <c r="E48" s="15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62" zoomScale="220" zoomScaleNormal="220" workbookViewId="0">
      <selection activeCell="C73" sqref="C73:G73"/>
    </sheetView>
  </sheetViews>
  <sheetFormatPr defaultRowHeight="15" x14ac:dyDescent="0.25"/>
  <cols>
    <col min="1" max="1" width="24" customWidth="1"/>
    <col min="2" max="2" width="11.42578125" customWidth="1"/>
    <col min="4" max="4" width="3.7109375" customWidth="1"/>
    <col min="6" max="6" width="6.28515625" customWidth="1"/>
    <col min="7" max="7" width="7" customWidth="1"/>
    <col min="8" max="8" width="4.140625" customWidth="1"/>
    <col min="9" max="9" width="5.42578125" customWidth="1"/>
    <col min="11" max="11" width="4.140625" customWidth="1"/>
  </cols>
  <sheetData>
    <row r="1" spans="1:8" x14ac:dyDescent="0.25">
      <c r="A1" t="s">
        <v>37</v>
      </c>
    </row>
    <row r="3" spans="1:8" x14ac:dyDescent="0.25">
      <c r="A3" t="s">
        <v>38</v>
      </c>
    </row>
    <row r="4" spans="1:8" x14ac:dyDescent="0.25">
      <c r="A4" t="s">
        <v>39</v>
      </c>
    </row>
    <row r="5" spans="1:8" x14ac:dyDescent="0.25">
      <c r="E5">
        <v>270</v>
      </c>
      <c r="F5" t="s">
        <v>44</v>
      </c>
      <c r="G5" s="4">
        <v>7.8</v>
      </c>
      <c r="H5" t="s">
        <v>2</v>
      </c>
    </row>
    <row r="6" spans="1:8" x14ac:dyDescent="0.25">
      <c r="A6" t="s">
        <v>40</v>
      </c>
      <c r="E6">
        <v>235</v>
      </c>
      <c r="F6" t="s">
        <v>44</v>
      </c>
      <c r="G6" s="3">
        <f>+E6*G5/E5</f>
        <v>6.7888888888888888</v>
      </c>
      <c r="H6" t="s">
        <v>2</v>
      </c>
    </row>
    <row r="9" spans="1:8" x14ac:dyDescent="0.25">
      <c r="A9" t="s">
        <v>41</v>
      </c>
      <c r="B9" t="s">
        <v>45</v>
      </c>
      <c r="E9">
        <v>270</v>
      </c>
      <c r="F9" t="s">
        <v>44</v>
      </c>
      <c r="G9" s="4">
        <v>7.8</v>
      </c>
      <c r="H9" t="s">
        <v>2</v>
      </c>
    </row>
    <row r="10" spans="1:8" x14ac:dyDescent="0.25">
      <c r="E10">
        <v>1000</v>
      </c>
      <c r="F10" t="s">
        <v>44</v>
      </c>
      <c r="G10" s="3">
        <f>+E10*G9/E9</f>
        <v>28.888888888888889</v>
      </c>
      <c r="H10" t="s">
        <v>2</v>
      </c>
    </row>
    <row r="12" spans="1:8" x14ac:dyDescent="0.25">
      <c r="A12" t="s">
        <v>42</v>
      </c>
      <c r="E12">
        <v>270</v>
      </c>
      <c r="F12" t="s">
        <v>44</v>
      </c>
      <c r="G12" s="4">
        <v>7.8</v>
      </c>
      <c r="H12" t="s">
        <v>2</v>
      </c>
    </row>
    <row r="13" spans="1:8" x14ac:dyDescent="0.25">
      <c r="E13">
        <v>12.69</v>
      </c>
      <c r="F13" t="s">
        <v>44</v>
      </c>
      <c r="G13" s="3">
        <f>+E13*G12/E12</f>
        <v>0.36659999999999998</v>
      </c>
      <c r="H13" t="s">
        <v>2</v>
      </c>
    </row>
    <row r="15" spans="1:8" x14ac:dyDescent="0.25">
      <c r="A15" t="s">
        <v>43</v>
      </c>
      <c r="E15">
        <v>270</v>
      </c>
      <c r="F15" t="s">
        <v>44</v>
      </c>
      <c r="G15" s="4">
        <v>7.8</v>
      </c>
      <c r="H15" t="s">
        <v>2</v>
      </c>
    </row>
    <row r="16" spans="1:8" x14ac:dyDescent="0.25">
      <c r="E16" s="23">
        <f>E15*G16/G15</f>
        <v>294.23076923076923</v>
      </c>
      <c r="F16" t="s">
        <v>44</v>
      </c>
      <c r="G16" s="9">
        <v>8.5</v>
      </c>
      <c r="H16" t="s">
        <v>2</v>
      </c>
    </row>
    <row r="19" spans="1:8" x14ac:dyDescent="0.25">
      <c r="A19" t="s">
        <v>46</v>
      </c>
    </row>
    <row r="20" spans="1:8" x14ac:dyDescent="0.25">
      <c r="H20" t="s">
        <v>54</v>
      </c>
    </row>
    <row r="21" spans="1:8" x14ac:dyDescent="0.25">
      <c r="A21" t="s">
        <v>47</v>
      </c>
      <c r="B21">
        <v>2</v>
      </c>
      <c r="C21" t="s">
        <v>48</v>
      </c>
      <c r="D21">
        <v>0.7</v>
      </c>
      <c r="E21" t="s">
        <v>51</v>
      </c>
      <c r="F21" s="4">
        <v>16.8</v>
      </c>
      <c r="G21" t="s">
        <v>52</v>
      </c>
      <c r="H21" s="4">
        <f>+F21-0.1</f>
        <v>16.7</v>
      </c>
    </row>
    <row r="22" spans="1:8" x14ac:dyDescent="0.25">
      <c r="A22" t="s">
        <v>49</v>
      </c>
      <c r="B22">
        <v>2</v>
      </c>
      <c r="C22" t="s">
        <v>48</v>
      </c>
      <c r="D22">
        <v>0.5</v>
      </c>
      <c r="E22" t="s">
        <v>51</v>
      </c>
      <c r="F22" s="4">
        <v>18.2</v>
      </c>
      <c r="G22" t="s">
        <v>52</v>
      </c>
      <c r="H22" s="4">
        <f>+F22-0.1</f>
        <v>18.099999999999998</v>
      </c>
    </row>
    <row r="23" spans="1:8" x14ac:dyDescent="0.25">
      <c r="A23" t="s">
        <v>50</v>
      </c>
      <c r="B23">
        <v>15</v>
      </c>
      <c r="C23" t="s">
        <v>48</v>
      </c>
      <c r="D23">
        <v>1</v>
      </c>
      <c r="E23" t="s">
        <v>51</v>
      </c>
      <c r="F23" s="4">
        <v>0.8</v>
      </c>
    </row>
    <row r="24" spans="1:8" x14ac:dyDescent="0.25">
      <c r="F24" s="4"/>
    </row>
    <row r="25" spans="1:8" x14ac:dyDescent="0.25">
      <c r="A25" t="s">
        <v>53</v>
      </c>
      <c r="C25" t="s">
        <v>47</v>
      </c>
      <c r="D25">
        <v>70</v>
      </c>
      <c r="E25" t="s">
        <v>48</v>
      </c>
      <c r="F25" s="4">
        <v>16.7</v>
      </c>
      <c r="G25" t="s">
        <v>2</v>
      </c>
    </row>
    <row r="26" spans="1:8" x14ac:dyDescent="0.25">
      <c r="D26">
        <v>2</v>
      </c>
      <c r="E26" t="s">
        <v>48</v>
      </c>
      <c r="F26" s="3">
        <f>+D26*F25/D25</f>
        <v>0.47714285714285715</v>
      </c>
      <c r="G26" t="s">
        <v>56</v>
      </c>
    </row>
    <row r="28" spans="1:8" x14ac:dyDescent="0.25">
      <c r="C28" t="s">
        <v>55</v>
      </c>
      <c r="D28">
        <v>50</v>
      </c>
      <c r="E28" t="s">
        <v>48</v>
      </c>
      <c r="F28" s="4">
        <f>+H22</f>
        <v>18.099999999999998</v>
      </c>
      <c r="G28" t="s">
        <v>2</v>
      </c>
    </row>
    <row r="29" spans="1:8" x14ac:dyDescent="0.25">
      <c r="D29">
        <v>2</v>
      </c>
      <c r="E29" t="s">
        <v>48</v>
      </c>
      <c r="F29" s="3">
        <f>+D29*F28/D28</f>
        <v>0.72399999999999987</v>
      </c>
      <c r="G29" t="s">
        <v>57</v>
      </c>
    </row>
    <row r="31" spans="1:8" x14ac:dyDescent="0.25">
      <c r="C31" t="s">
        <v>50</v>
      </c>
      <c r="D31">
        <v>100</v>
      </c>
      <c r="E31" t="s">
        <v>48</v>
      </c>
      <c r="F31" s="4">
        <v>0.8</v>
      </c>
      <c r="G31" t="s">
        <v>2</v>
      </c>
    </row>
    <row r="32" spans="1:8" x14ac:dyDescent="0.25">
      <c r="D32">
        <v>15</v>
      </c>
      <c r="E32" t="s">
        <v>48</v>
      </c>
      <c r="F32" s="3">
        <f>+D32*F31/D31</f>
        <v>0.12</v>
      </c>
      <c r="G32" t="s">
        <v>58</v>
      </c>
    </row>
    <row r="33" spans="1:11" x14ac:dyDescent="0.25">
      <c r="A33" t="s">
        <v>59</v>
      </c>
      <c r="B33" s="6">
        <f>+F26+F29+F32</f>
        <v>1.3211428571428572</v>
      </c>
      <c r="C33" s="19" t="s">
        <v>2</v>
      </c>
    </row>
    <row r="37" spans="1:11" x14ac:dyDescent="0.25">
      <c r="A37" t="s">
        <v>72</v>
      </c>
      <c r="I37" t="s">
        <v>76</v>
      </c>
      <c r="J37" t="s">
        <v>86</v>
      </c>
    </row>
    <row r="38" spans="1:11" x14ac:dyDescent="0.25">
      <c r="B38" t="s">
        <v>47</v>
      </c>
      <c r="C38">
        <v>152</v>
      </c>
      <c r="D38" t="s">
        <v>48</v>
      </c>
      <c r="E38" s="4">
        <v>17.5</v>
      </c>
      <c r="F38" t="s">
        <v>2</v>
      </c>
      <c r="G38">
        <v>0.7</v>
      </c>
      <c r="H38" t="s">
        <v>51</v>
      </c>
      <c r="I38">
        <v>0.1</v>
      </c>
      <c r="J38" s="27">
        <v>1.52</v>
      </c>
      <c r="K38" t="s">
        <v>51</v>
      </c>
    </row>
    <row r="39" spans="1:11" x14ac:dyDescent="0.25">
      <c r="B39" t="s">
        <v>49</v>
      </c>
      <c r="C39">
        <v>2.5</v>
      </c>
      <c r="D39" t="s">
        <v>73</v>
      </c>
      <c r="E39" s="4">
        <v>15.2</v>
      </c>
      <c r="F39" t="s">
        <v>2</v>
      </c>
      <c r="G39">
        <v>0.375</v>
      </c>
      <c r="H39" t="s">
        <v>51</v>
      </c>
      <c r="I39">
        <v>0.1</v>
      </c>
      <c r="J39" s="27">
        <v>0.25</v>
      </c>
      <c r="K39" t="s">
        <v>51</v>
      </c>
    </row>
    <row r="40" spans="1:11" x14ac:dyDescent="0.25">
      <c r="B40" t="s">
        <v>74</v>
      </c>
      <c r="C40">
        <v>150</v>
      </c>
      <c r="D40" t="s">
        <v>44</v>
      </c>
      <c r="E40" s="4">
        <v>2.5</v>
      </c>
      <c r="F40" t="s">
        <v>75</v>
      </c>
      <c r="J40" s="27">
        <v>0.15</v>
      </c>
      <c r="K40" t="s">
        <v>51</v>
      </c>
    </row>
    <row r="41" spans="1:11" x14ac:dyDescent="0.25">
      <c r="B41" t="s">
        <v>50</v>
      </c>
      <c r="C41">
        <v>3</v>
      </c>
      <c r="D41" t="s">
        <v>51</v>
      </c>
      <c r="E41" s="4">
        <v>1.85</v>
      </c>
      <c r="F41" t="s">
        <v>2</v>
      </c>
      <c r="G41">
        <v>1.5</v>
      </c>
      <c r="H41" t="s">
        <v>51</v>
      </c>
      <c r="I41">
        <v>0.4</v>
      </c>
      <c r="J41" s="27">
        <v>3</v>
      </c>
      <c r="K41" t="s">
        <v>51</v>
      </c>
    </row>
    <row r="42" spans="1:11" ht="15.75" thickBot="1" x14ac:dyDescent="0.3">
      <c r="B42" s="24" t="s">
        <v>77</v>
      </c>
      <c r="C42" s="24">
        <v>25</v>
      </c>
      <c r="D42" s="24" t="s">
        <v>78</v>
      </c>
      <c r="E42" s="25">
        <v>7.5</v>
      </c>
      <c r="F42" s="24" t="s">
        <v>2</v>
      </c>
      <c r="G42" s="24">
        <v>22</v>
      </c>
      <c r="H42" s="24" t="s">
        <v>48</v>
      </c>
      <c r="I42" s="24"/>
      <c r="J42" s="28">
        <v>2.5000000000000001E-2</v>
      </c>
      <c r="K42" t="s">
        <v>51</v>
      </c>
    </row>
    <row r="43" spans="1:11" x14ac:dyDescent="0.25">
      <c r="B43" s="26" t="s">
        <v>85</v>
      </c>
      <c r="J43">
        <f>SUM(J38:J42)</f>
        <v>4.9450000000000003</v>
      </c>
      <c r="K43" t="s">
        <v>51</v>
      </c>
    </row>
    <row r="44" spans="1:11" x14ac:dyDescent="0.25">
      <c r="A44" t="s">
        <v>79</v>
      </c>
    </row>
    <row r="45" spans="1:11" x14ac:dyDescent="0.25">
      <c r="B45" t="s">
        <v>47</v>
      </c>
      <c r="C45">
        <v>70</v>
      </c>
      <c r="D45" t="s">
        <v>48</v>
      </c>
      <c r="E45" s="4">
        <v>17.399999999999999</v>
      </c>
      <c r="F45" t="s">
        <v>2</v>
      </c>
    </row>
    <row r="46" spans="1:11" x14ac:dyDescent="0.25">
      <c r="C46">
        <v>152</v>
      </c>
      <c r="D46" t="s">
        <v>48</v>
      </c>
      <c r="E46" s="6">
        <f>+C46*E45/C45</f>
        <v>37.782857142857139</v>
      </c>
      <c r="F46" t="s">
        <v>2</v>
      </c>
    </row>
    <row r="48" spans="1:11" x14ac:dyDescent="0.25">
      <c r="B48" t="s">
        <v>49</v>
      </c>
      <c r="C48">
        <v>37.5</v>
      </c>
      <c r="D48" t="s">
        <v>48</v>
      </c>
      <c r="E48" s="4">
        <v>15.1</v>
      </c>
      <c r="F48" t="s">
        <v>2</v>
      </c>
    </row>
    <row r="49" spans="2:7" x14ac:dyDescent="0.25">
      <c r="C49">
        <v>25</v>
      </c>
      <c r="D49" t="s">
        <v>48</v>
      </c>
      <c r="E49" s="6">
        <f>+C49*E48/C48</f>
        <v>10.066666666666666</v>
      </c>
      <c r="F49" t="s">
        <v>2</v>
      </c>
    </row>
    <row r="51" spans="2:7" x14ac:dyDescent="0.25">
      <c r="B51" t="s">
        <v>80</v>
      </c>
      <c r="C51">
        <v>1000</v>
      </c>
      <c r="D51" t="s">
        <v>44</v>
      </c>
      <c r="E51" s="4">
        <v>2.5</v>
      </c>
      <c r="F51" t="s">
        <v>2</v>
      </c>
      <c r="G51" t="s">
        <v>81</v>
      </c>
    </row>
    <row r="52" spans="2:7" x14ac:dyDescent="0.25">
      <c r="C52">
        <v>150</v>
      </c>
      <c r="D52" t="s">
        <v>44</v>
      </c>
      <c r="E52" s="6">
        <f>+C52*E51/C51</f>
        <v>0.375</v>
      </c>
      <c r="F52" t="s">
        <v>2</v>
      </c>
    </row>
    <row r="54" spans="2:7" x14ac:dyDescent="0.25">
      <c r="B54" t="s">
        <v>50</v>
      </c>
      <c r="C54">
        <v>1.5</v>
      </c>
      <c r="D54" t="s">
        <v>51</v>
      </c>
      <c r="E54" s="4">
        <f>+E41-0.4</f>
        <v>1.4500000000000002</v>
      </c>
      <c r="F54" t="s">
        <v>2</v>
      </c>
    </row>
    <row r="55" spans="2:7" x14ac:dyDescent="0.25">
      <c r="C55">
        <v>3</v>
      </c>
      <c r="D55" t="s">
        <v>51</v>
      </c>
      <c r="E55" s="6">
        <f>+C55*E54/C54</f>
        <v>2.9000000000000004</v>
      </c>
      <c r="F55" t="s">
        <v>2</v>
      </c>
    </row>
    <row r="57" spans="2:7" x14ac:dyDescent="0.25">
      <c r="B57" t="s">
        <v>77</v>
      </c>
      <c r="C57">
        <v>22</v>
      </c>
      <c r="D57" t="s">
        <v>48</v>
      </c>
      <c r="E57" s="4">
        <v>7.5</v>
      </c>
      <c r="F57" t="s">
        <v>2</v>
      </c>
    </row>
    <row r="58" spans="2:7" x14ac:dyDescent="0.25">
      <c r="C58">
        <v>2.5</v>
      </c>
      <c r="D58" t="s">
        <v>48</v>
      </c>
      <c r="E58" s="6">
        <f>+C58*E57/C57</f>
        <v>0.85227272727272729</v>
      </c>
      <c r="F58" t="s">
        <v>2</v>
      </c>
    </row>
    <row r="61" spans="2:7" x14ac:dyDescent="0.25">
      <c r="B61" t="s">
        <v>82</v>
      </c>
      <c r="C61" s="4">
        <f>E46+E49+E52+E55+E58</f>
        <v>51.976796536796527</v>
      </c>
      <c r="D61" t="s">
        <v>2</v>
      </c>
    </row>
    <row r="62" spans="2:7" x14ac:dyDescent="0.25">
      <c r="B62" t="s">
        <v>83</v>
      </c>
      <c r="C62" s="6">
        <f>+C61/F62</f>
        <v>10.510980088330946</v>
      </c>
      <c r="D62" t="s">
        <v>87</v>
      </c>
      <c r="E62" t="s">
        <v>84</v>
      </c>
      <c r="F62">
        <f>+J43</f>
        <v>4.9450000000000003</v>
      </c>
      <c r="G62" t="s">
        <v>51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zoomScale="160" zoomScaleNormal="160" workbookViewId="0">
      <selection activeCell="B20" sqref="B20"/>
    </sheetView>
  </sheetViews>
  <sheetFormatPr defaultRowHeight="15" x14ac:dyDescent="0.25"/>
  <sheetData>
    <row r="3" spans="1:8" x14ac:dyDescent="0.25">
      <c r="A3" t="s">
        <v>88</v>
      </c>
      <c r="G3" t="s">
        <v>91</v>
      </c>
    </row>
    <row r="4" spans="1:8" x14ac:dyDescent="0.25">
      <c r="B4" t="s">
        <v>47</v>
      </c>
      <c r="C4">
        <v>2</v>
      </c>
      <c r="D4" t="s">
        <v>48</v>
      </c>
      <c r="E4">
        <v>40</v>
      </c>
      <c r="F4" t="s">
        <v>3</v>
      </c>
      <c r="G4">
        <f>+C4*E4/100</f>
        <v>0.8</v>
      </c>
      <c r="H4" t="s">
        <v>48</v>
      </c>
    </row>
    <row r="5" spans="1:8" x14ac:dyDescent="0.25">
      <c r="B5" t="s">
        <v>49</v>
      </c>
      <c r="C5">
        <v>2</v>
      </c>
      <c r="D5" t="s">
        <v>48</v>
      </c>
      <c r="E5">
        <v>17</v>
      </c>
      <c r="F5" t="s">
        <v>3</v>
      </c>
      <c r="G5">
        <f>+C5*E5/100</f>
        <v>0.34</v>
      </c>
      <c r="H5" t="s">
        <v>48</v>
      </c>
    </row>
    <row r="6" spans="1:8" ht="15.75" thickBot="1" x14ac:dyDescent="0.3">
      <c r="B6" s="24" t="s">
        <v>50</v>
      </c>
      <c r="C6" s="24">
        <v>16</v>
      </c>
      <c r="D6" s="24" t="s">
        <v>48</v>
      </c>
      <c r="E6" s="24"/>
      <c r="F6" s="24"/>
      <c r="G6" s="24">
        <f>+C6*E6/100</f>
        <v>0</v>
      </c>
      <c r="H6" s="24" t="s">
        <v>48</v>
      </c>
    </row>
    <row r="7" spans="1:8" x14ac:dyDescent="0.25">
      <c r="C7" s="19">
        <f>SUM(C4:C6)</f>
        <v>20</v>
      </c>
      <c r="D7" s="26" t="s">
        <v>48</v>
      </c>
      <c r="G7" s="19">
        <f>SUM(G4:G6)</f>
        <v>1.1400000000000001</v>
      </c>
      <c r="H7" s="26" t="s">
        <v>48</v>
      </c>
    </row>
    <row r="9" spans="1:8" x14ac:dyDescent="0.25">
      <c r="B9" t="s">
        <v>89</v>
      </c>
      <c r="C9" t="s">
        <v>90</v>
      </c>
    </row>
    <row r="11" spans="1:8" x14ac:dyDescent="0.25">
      <c r="C11" t="s">
        <v>92</v>
      </c>
      <c r="F11" s="19">
        <f>'alkopit%'!G7*100/'alkopit%'!C7</f>
        <v>5.7000000000000011</v>
      </c>
      <c r="G11" t="s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9" zoomScale="160" zoomScaleNormal="160" workbookViewId="0">
      <selection activeCell="C35" sqref="C35:F37"/>
    </sheetView>
  </sheetViews>
  <sheetFormatPr defaultRowHeight="15" x14ac:dyDescent="0.25"/>
  <cols>
    <col min="1" max="1" width="14.85546875" customWidth="1"/>
  </cols>
  <sheetData>
    <row r="1" spans="1:4" x14ac:dyDescent="0.25">
      <c r="A1" t="s">
        <v>93</v>
      </c>
    </row>
    <row r="3" spans="1:4" x14ac:dyDescent="0.25">
      <c r="A3" t="s">
        <v>94</v>
      </c>
    </row>
    <row r="4" spans="1:4" x14ac:dyDescent="0.25">
      <c r="A4" s="19" t="s">
        <v>98</v>
      </c>
      <c r="B4" s="19" t="s">
        <v>99</v>
      </c>
    </row>
    <row r="5" spans="1:4" x14ac:dyDescent="0.25">
      <c r="A5" t="s">
        <v>95</v>
      </c>
      <c r="B5">
        <v>30</v>
      </c>
      <c r="C5" t="s">
        <v>96</v>
      </c>
    </row>
    <row r="6" spans="1:4" x14ac:dyDescent="0.25">
      <c r="A6" t="s">
        <v>97</v>
      </c>
      <c r="B6">
        <v>170</v>
      </c>
      <c r="C6" t="s">
        <v>100</v>
      </c>
    </row>
    <row r="7" spans="1:4" x14ac:dyDescent="0.25">
      <c r="A7" t="s">
        <v>101</v>
      </c>
      <c r="B7">
        <v>35</v>
      </c>
      <c r="C7" t="s">
        <v>3</v>
      </c>
    </row>
    <row r="9" spans="1:4" x14ac:dyDescent="0.25">
      <c r="B9" t="s">
        <v>105</v>
      </c>
    </row>
    <row r="10" spans="1:4" x14ac:dyDescent="0.25">
      <c r="A10" t="s">
        <v>102</v>
      </c>
      <c r="B10" s="29">
        <f>+B12*C10/C12</f>
        <v>7.8461538461538449</v>
      </c>
      <c r="C10">
        <v>100</v>
      </c>
      <c r="D10" t="s">
        <v>106</v>
      </c>
    </row>
    <row r="11" spans="1:4" ht="15.75" thickBot="1" x14ac:dyDescent="0.3">
      <c r="A11" s="31" t="s">
        <v>103</v>
      </c>
      <c r="B11" s="32"/>
      <c r="C11" s="31">
        <v>35</v>
      </c>
      <c r="D11" s="16" t="s">
        <v>3</v>
      </c>
    </row>
    <row r="12" spans="1:4" x14ac:dyDescent="0.25">
      <c r="A12" t="s">
        <v>104</v>
      </c>
      <c r="B12" s="30">
        <f>B5*B6/1000</f>
        <v>5.0999999999999996</v>
      </c>
      <c r="C12">
        <f>+C10-C11</f>
        <v>65</v>
      </c>
      <c r="D12" t="s">
        <v>3</v>
      </c>
    </row>
    <row r="15" spans="1:4" x14ac:dyDescent="0.25">
      <c r="A15" t="s">
        <v>108</v>
      </c>
    </row>
    <row r="16" spans="1:4" x14ac:dyDescent="0.25">
      <c r="A16" t="s">
        <v>107</v>
      </c>
    </row>
    <row r="19" spans="1:4" x14ac:dyDescent="0.25">
      <c r="A19" t="s">
        <v>102</v>
      </c>
      <c r="B19" s="29">
        <f>B21*C19/C21</f>
        <v>1.8461538461538463</v>
      </c>
      <c r="C19">
        <v>100</v>
      </c>
      <c r="D19" t="s">
        <v>3</v>
      </c>
    </row>
    <row r="20" spans="1:4" x14ac:dyDescent="0.25">
      <c r="A20" s="17" t="s">
        <v>103</v>
      </c>
      <c r="B20" s="33"/>
      <c r="C20" s="17">
        <v>35</v>
      </c>
      <c r="D20" s="16" t="s">
        <v>3</v>
      </c>
    </row>
    <row r="21" spans="1:4" x14ac:dyDescent="0.25">
      <c r="A21" t="s">
        <v>104</v>
      </c>
      <c r="B21" s="30">
        <v>1.2</v>
      </c>
      <c r="C21">
        <f>C19-C20</f>
        <v>65</v>
      </c>
      <c r="D21" t="s">
        <v>3</v>
      </c>
    </row>
    <row r="24" spans="1:4" x14ac:dyDescent="0.25">
      <c r="A24" t="s">
        <v>110</v>
      </c>
    </row>
    <row r="25" spans="1:4" x14ac:dyDescent="0.25">
      <c r="A25" s="19" t="s">
        <v>98</v>
      </c>
      <c r="B25" s="19" t="s">
        <v>109</v>
      </c>
    </row>
    <row r="26" spans="1:4" x14ac:dyDescent="0.25">
      <c r="A26" t="s">
        <v>95</v>
      </c>
      <c r="B26">
        <v>25</v>
      </c>
      <c r="C26" t="s">
        <v>96</v>
      </c>
    </row>
    <row r="27" spans="1:4" x14ac:dyDescent="0.25">
      <c r="A27" t="s">
        <v>97</v>
      </c>
      <c r="B27">
        <v>150</v>
      </c>
      <c r="C27" t="s">
        <v>100</v>
      </c>
    </row>
    <row r="28" spans="1:4" x14ac:dyDescent="0.25">
      <c r="A28" t="s">
        <v>101</v>
      </c>
      <c r="B28">
        <v>30</v>
      </c>
      <c r="C28" t="s">
        <v>3</v>
      </c>
    </row>
    <row r="30" spans="1:4" x14ac:dyDescent="0.25">
      <c r="A30" t="s">
        <v>111</v>
      </c>
      <c r="B30" s="34">
        <v>16</v>
      </c>
      <c r="C30" t="s">
        <v>112</v>
      </c>
    </row>
    <row r="31" spans="1:4" x14ac:dyDescent="0.25">
      <c r="A31" t="s">
        <v>113</v>
      </c>
      <c r="B31" t="s">
        <v>114</v>
      </c>
    </row>
    <row r="32" spans="1:4" x14ac:dyDescent="0.25">
      <c r="A32" t="s">
        <v>115</v>
      </c>
      <c r="B32" t="s">
        <v>116</v>
      </c>
    </row>
    <row r="34" spans="1:7" x14ac:dyDescent="0.25">
      <c r="A34" t="s">
        <v>117</v>
      </c>
      <c r="D34" t="s">
        <v>105</v>
      </c>
    </row>
    <row r="35" spans="1:7" x14ac:dyDescent="0.25">
      <c r="A35" t="s">
        <v>120</v>
      </c>
      <c r="C35" t="s">
        <v>121</v>
      </c>
      <c r="D35" s="29">
        <f>D37*E35/E37</f>
        <v>5.3571428571428568</v>
      </c>
      <c r="E35">
        <v>100</v>
      </c>
      <c r="F35" t="s">
        <v>3</v>
      </c>
    </row>
    <row r="36" spans="1:7" ht="15.75" thickBot="1" x14ac:dyDescent="0.3">
      <c r="A36" t="s">
        <v>118</v>
      </c>
      <c r="C36" s="31" t="s">
        <v>122</v>
      </c>
      <c r="D36" s="32"/>
      <c r="E36" s="31">
        <f>B28</f>
        <v>30</v>
      </c>
      <c r="F36" s="16" t="s">
        <v>3</v>
      </c>
    </row>
    <row r="37" spans="1:7" x14ac:dyDescent="0.25">
      <c r="A37" t="s">
        <v>119</v>
      </c>
      <c r="C37" t="s">
        <v>123</v>
      </c>
      <c r="D37" s="30">
        <f>B26*B27/1000</f>
        <v>3.75</v>
      </c>
      <c r="E37">
        <f>E35-E36</f>
        <v>70</v>
      </c>
      <c r="F37" t="s">
        <v>3</v>
      </c>
    </row>
    <row r="40" spans="1:7" x14ac:dyDescent="0.25">
      <c r="A40" t="s">
        <v>124</v>
      </c>
      <c r="C40" t="s">
        <v>125</v>
      </c>
      <c r="F40" s="4">
        <f>B30*100/E37</f>
        <v>22.857142857142858</v>
      </c>
      <c r="G40" t="s">
        <v>75</v>
      </c>
    </row>
    <row r="42" spans="1:7" x14ac:dyDescent="0.25">
      <c r="A42" t="s">
        <v>126</v>
      </c>
    </row>
    <row r="43" spans="1:7" x14ac:dyDescent="0.25">
      <c r="B43" t="s">
        <v>127</v>
      </c>
      <c r="C43" t="s">
        <v>130</v>
      </c>
      <c r="F43" s="6">
        <f>D35*B30</f>
        <v>85.714285714285708</v>
      </c>
      <c r="G43" t="s">
        <v>2</v>
      </c>
    </row>
    <row r="44" spans="1:7" x14ac:dyDescent="0.25">
      <c r="B44" t="s">
        <v>128</v>
      </c>
      <c r="C44" t="s">
        <v>131</v>
      </c>
      <c r="F44" s="6">
        <f>D37*F40</f>
        <v>85.714285714285722</v>
      </c>
      <c r="G44" t="s">
        <v>2</v>
      </c>
    </row>
    <row r="45" spans="1:7" x14ac:dyDescent="0.25">
      <c r="B45" t="s">
        <v>129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32"/>
  <sheetViews>
    <sheetView topLeftCell="A14" zoomScale="130" zoomScaleNormal="130" workbookViewId="0">
      <selection activeCell="D23" sqref="D23"/>
    </sheetView>
  </sheetViews>
  <sheetFormatPr defaultRowHeight="15" x14ac:dyDescent="0.25"/>
  <cols>
    <col min="1" max="1" width="12.140625" customWidth="1"/>
    <col min="2" max="2" width="9.85546875" bestFit="1" customWidth="1"/>
    <col min="6" max="6" width="9.85546875" bestFit="1" customWidth="1"/>
    <col min="10" max="10" width="9.85546875" bestFit="1" customWidth="1"/>
  </cols>
  <sheetData>
    <row r="6" spans="1:7" x14ac:dyDescent="0.25">
      <c r="A6" s="10" t="s">
        <v>121</v>
      </c>
      <c r="B6" s="48">
        <v>5.6</v>
      </c>
      <c r="C6" s="10">
        <v>100</v>
      </c>
      <c r="D6" s="10" t="s">
        <v>3</v>
      </c>
    </row>
    <row r="7" spans="1:7" ht="15.75" thickBot="1" x14ac:dyDescent="0.3">
      <c r="A7" s="35" t="s">
        <v>122</v>
      </c>
      <c r="B7" s="47">
        <f>B6-B8</f>
        <v>2.8999999999999995</v>
      </c>
      <c r="C7" s="46">
        <f>B7*C6/B6</f>
        <v>51.785714285714278</v>
      </c>
      <c r="D7" s="10" t="s">
        <v>148</v>
      </c>
    </row>
    <row r="8" spans="1:7" x14ac:dyDescent="0.25">
      <c r="A8" s="10" t="s">
        <v>123</v>
      </c>
      <c r="B8" s="44">
        <f>6*0.45</f>
        <v>2.7</v>
      </c>
      <c r="C8" s="39">
        <f>C6-C7</f>
        <v>48.214285714285722</v>
      </c>
      <c r="D8" s="10" t="s">
        <v>147</v>
      </c>
    </row>
    <row r="11" spans="1:7" x14ac:dyDescent="0.25">
      <c r="A11" s="10" t="s">
        <v>146</v>
      </c>
      <c r="F11" s="4">
        <f>5.65*100/C8</f>
        <v>11.718518518518517</v>
      </c>
      <c r="G11" t="s">
        <v>75</v>
      </c>
    </row>
    <row r="13" spans="1:7" x14ac:dyDescent="0.25">
      <c r="A13" t="s">
        <v>115</v>
      </c>
      <c r="B13" t="s">
        <v>145</v>
      </c>
      <c r="D13">
        <f>5.6*5.65</f>
        <v>31.64</v>
      </c>
      <c r="E13" t="s">
        <v>2</v>
      </c>
    </row>
    <row r="16" spans="1:7" x14ac:dyDescent="0.25">
      <c r="A16" s="10" t="s">
        <v>121</v>
      </c>
      <c r="B16" s="45">
        <f>B18*C16/C18</f>
        <v>2.8787878787878789</v>
      </c>
      <c r="C16" s="10">
        <v>100</v>
      </c>
    </row>
    <row r="17" spans="1:11" ht="15.75" thickBot="1" x14ac:dyDescent="0.3">
      <c r="A17" s="31" t="s">
        <v>122</v>
      </c>
      <c r="B17" s="32"/>
      <c r="C17" s="41">
        <v>34</v>
      </c>
    </row>
    <row r="18" spans="1:11" x14ac:dyDescent="0.25">
      <c r="A18" s="10" t="s">
        <v>123</v>
      </c>
      <c r="B18" s="44">
        <v>1.9</v>
      </c>
      <c r="C18" s="39">
        <f>C16-C17</f>
        <v>66</v>
      </c>
    </row>
    <row r="21" spans="1:11" x14ac:dyDescent="0.25">
      <c r="A21" t="s">
        <v>144</v>
      </c>
    </row>
    <row r="23" spans="1:11" x14ac:dyDescent="0.25">
      <c r="A23" t="s">
        <v>143</v>
      </c>
      <c r="B23" s="7">
        <v>1200</v>
      </c>
      <c r="C23" t="s">
        <v>96</v>
      </c>
    </row>
    <row r="24" spans="1:11" x14ac:dyDescent="0.25">
      <c r="A24" t="s">
        <v>142</v>
      </c>
      <c r="B24" s="7">
        <f>(9*20)*B23</f>
        <v>216000</v>
      </c>
      <c r="C24" t="s">
        <v>96</v>
      </c>
    </row>
    <row r="25" spans="1:11" x14ac:dyDescent="0.25">
      <c r="F25" t="s">
        <v>141</v>
      </c>
      <c r="J25" t="s">
        <v>140</v>
      </c>
    </row>
    <row r="26" spans="1:11" x14ac:dyDescent="0.25">
      <c r="A26" t="s">
        <v>139</v>
      </c>
      <c r="C26">
        <v>140</v>
      </c>
      <c r="D26" t="s">
        <v>44</v>
      </c>
      <c r="E26" s="10" t="s">
        <v>121</v>
      </c>
      <c r="F26" s="43">
        <f>F28*G26/G28</f>
        <v>35576.470588235294</v>
      </c>
      <c r="G26" s="10">
        <v>100</v>
      </c>
      <c r="I26" s="10" t="s">
        <v>121</v>
      </c>
      <c r="J26" s="43">
        <f>J28*K26/K28</f>
        <v>47076.923076923078</v>
      </c>
      <c r="K26" s="10">
        <v>100</v>
      </c>
    </row>
    <row r="27" spans="1:11" ht="15.75" thickBot="1" x14ac:dyDescent="0.3">
      <c r="A27" s="42" t="s">
        <v>138</v>
      </c>
      <c r="B27" s="42"/>
      <c r="C27" s="42">
        <v>170</v>
      </c>
      <c r="D27" s="42" t="s">
        <v>44</v>
      </c>
      <c r="E27" s="31" t="s">
        <v>122</v>
      </c>
      <c r="F27" s="37"/>
      <c r="G27" s="41">
        <v>15</v>
      </c>
      <c r="I27" s="31" t="s">
        <v>122</v>
      </c>
      <c r="J27" s="37"/>
      <c r="K27" s="41">
        <v>22</v>
      </c>
    </row>
    <row r="28" spans="1:11" x14ac:dyDescent="0.25">
      <c r="E28" s="10" t="s">
        <v>123</v>
      </c>
      <c r="F28" s="40">
        <f>B24*C26/1000</f>
        <v>30240</v>
      </c>
      <c r="G28" s="39">
        <f>G26-G27</f>
        <v>85</v>
      </c>
      <c r="I28" s="10" t="s">
        <v>123</v>
      </c>
      <c r="J28" s="40">
        <f>B24*C27/1000</f>
        <v>36720</v>
      </c>
      <c r="K28" s="39">
        <f>K26-K27</f>
        <v>78</v>
      </c>
    </row>
    <row r="29" spans="1:11" x14ac:dyDescent="0.25">
      <c r="A29" t="s">
        <v>137</v>
      </c>
      <c r="C29">
        <v>15</v>
      </c>
      <c r="D29" t="s">
        <v>3</v>
      </c>
    </row>
    <row r="30" spans="1:11" x14ac:dyDescent="0.25">
      <c r="A30" t="s">
        <v>136</v>
      </c>
      <c r="C30">
        <v>22</v>
      </c>
      <c r="D30" t="s">
        <v>3</v>
      </c>
      <c r="F30" t="s">
        <v>135</v>
      </c>
      <c r="I30" s="38">
        <f>J26-F26</f>
        <v>11500.452488687784</v>
      </c>
      <c r="J30" t="s">
        <v>134</v>
      </c>
    </row>
    <row r="31" spans="1:11" x14ac:dyDescent="0.25">
      <c r="F31" t="s">
        <v>133</v>
      </c>
      <c r="I31" s="36">
        <f>I30*7.2</f>
        <v>82803.257918552044</v>
      </c>
      <c r="J31" t="s">
        <v>2</v>
      </c>
    </row>
    <row r="32" spans="1:11" x14ac:dyDescent="0.25">
      <c r="A32" t="s">
        <v>132</v>
      </c>
      <c r="C32" s="4">
        <v>7.2</v>
      </c>
      <c r="D32" t="s">
        <v>75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4" zoomScale="205" zoomScaleNormal="205" workbookViewId="0">
      <selection activeCell="A7" sqref="A7:C11"/>
    </sheetView>
  </sheetViews>
  <sheetFormatPr defaultRowHeight="15" x14ac:dyDescent="0.25"/>
  <cols>
    <col min="1" max="1" width="21.85546875" customWidth="1"/>
  </cols>
  <sheetData>
    <row r="1" spans="1:13" x14ac:dyDescent="0.25">
      <c r="A1" t="s">
        <v>171</v>
      </c>
    </row>
    <row r="3" spans="1:13" x14ac:dyDescent="0.25">
      <c r="A3" t="s">
        <v>170</v>
      </c>
      <c r="B3" t="s">
        <v>169</v>
      </c>
    </row>
    <row r="4" spans="1:13" x14ac:dyDescent="0.25">
      <c r="A4" t="s">
        <v>168</v>
      </c>
    </row>
    <row r="7" spans="1:13" x14ac:dyDescent="0.25">
      <c r="A7" t="s">
        <v>155</v>
      </c>
      <c r="B7" s="54">
        <v>22</v>
      </c>
      <c r="C7">
        <f>+C8+C9</f>
        <v>114</v>
      </c>
      <c r="D7" t="s">
        <v>3</v>
      </c>
    </row>
    <row r="8" spans="1:13" ht="15.75" thickBot="1" x14ac:dyDescent="0.3">
      <c r="A8" s="24" t="s">
        <v>152</v>
      </c>
      <c r="B8" s="25">
        <f>+B7-B9</f>
        <v>2.7017543859649109</v>
      </c>
      <c r="C8" s="24">
        <v>14</v>
      </c>
      <c r="D8" t="s">
        <v>3</v>
      </c>
    </row>
    <row r="9" spans="1:13" x14ac:dyDescent="0.25">
      <c r="A9" t="s">
        <v>153</v>
      </c>
      <c r="B9" s="4">
        <f>+B7*C9/C7</f>
        <v>19.298245614035089</v>
      </c>
      <c r="C9">
        <v>100</v>
      </c>
      <c r="D9" t="s">
        <v>3</v>
      </c>
    </row>
    <row r="10" spans="1:13" ht="15.75" thickBot="1" x14ac:dyDescent="0.3">
      <c r="A10" s="24" t="s">
        <v>158</v>
      </c>
      <c r="B10" s="52">
        <v>3.2</v>
      </c>
      <c r="C10" s="24"/>
      <c r="J10" t="s">
        <v>155</v>
      </c>
    </row>
    <row r="11" spans="1:13" ht="15.75" thickBot="1" x14ac:dyDescent="0.3">
      <c r="A11" t="s">
        <v>149</v>
      </c>
      <c r="B11" s="4">
        <f>+B9-B10</f>
        <v>16.09824561403509</v>
      </c>
      <c r="C11" s="53">
        <f>+B11*C9/B9</f>
        <v>83.418181818181822</v>
      </c>
      <c r="D11" t="s">
        <v>167</v>
      </c>
      <c r="J11" s="24" t="s">
        <v>152</v>
      </c>
      <c r="K11" s="24"/>
      <c r="L11" s="24"/>
    </row>
    <row r="12" spans="1:13" x14ac:dyDescent="0.25">
      <c r="J12" t="s">
        <v>153</v>
      </c>
      <c r="L12">
        <v>100</v>
      </c>
      <c r="M12" t="s">
        <v>3</v>
      </c>
    </row>
    <row r="13" spans="1:13" ht="15.75" thickBot="1" x14ac:dyDescent="0.3">
      <c r="J13" s="24" t="s">
        <v>158</v>
      </c>
      <c r="K13" s="24"/>
      <c r="L13" s="24"/>
    </row>
    <row r="14" spans="1:13" x14ac:dyDescent="0.25">
      <c r="A14" t="s">
        <v>166</v>
      </c>
      <c r="J14" t="s">
        <v>149</v>
      </c>
    </row>
    <row r="15" spans="1:13" x14ac:dyDescent="0.25">
      <c r="A15" t="s">
        <v>165</v>
      </c>
    </row>
    <row r="17" spans="1:4" x14ac:dyDescent="0.25">
      <c r="A17" t="s">
        <v>155</v>
      </c>
      <c r="B17" s="6">
        <f>+B19*C17/C19</f>
        <v>23.56</v>
      </c>
      <c r="C17">
        <f>+C18+C19</f>
        <v>114</v>
      </c>
      <c r="D17" t="s">
        <v>164</v>
      </c>
    </row>
    <row r="18" spans="1:4" ht="15.75" thickBot="1" x14ac:dyDescent="0.3">
      <c r="A18" s="24" t="s">
        <v>152</v>
      </c>
      <c r="B18" s="25">
        <f>+B17-B19</f>
        <v>2.8933333333333309</v>
      </c>
      <c r="C18" s="24">
        <v>14</v>
      </c>
      <c r="D18" t="s">
        <v>3</v>
      </c>
    </row>
    <row r="19" spans="1:4" x14ac:dyDescent="0.25">
      <c r="A19" t="s">
        <v>153</v>
      </c>
      <c r="B19" s="4">
        <f>+B20*C19/C20</f>
        <v>20.666666666666668</v>
      </c>
      <c r="C19">
        <v>100</v>
      </c>
      <c r="D19" t="s">
        <v>163</v>
      </c>
    </row>
    <row r="20" spans="1:4" ht="15.75" thickBot="1" x14ac:dyDescent="0.3">
      <c r="A20" s="24" t="s">
        <v>158</v>
      </c>
      <c r="B20" s="52">
        <v>6.2</v>
      </c>
      <c r="C20" s="24">
        <f>+C19-C21</f>
        <v>30</v>
      </c>
      <c r="D20" t="s">
        <v>3</v>
      </c>
    </row>
    <row r="21" spans="1:4" x14ac:dyDescent="0.25">
      <c r="A21" t="s">
        <v>149</v>
      </c>
      <c r="B21" s="4">
        <f>+B19-B20</f>
        <v>14.466666666666669</v>
      </c>
      <c r="C21" s="51">
        <v>70</v>
      </c>
      <c r="D21" t="s">
        <v>3</v>
      </c>
    </row>
    <row r="22" spans="1:4" x14ac:dyDescent="0.25">
      <c r="B22" s="4"/>
    </row>
    <row r="23" spans="1:4" x14ac:dyDescent="0.25">
      <c r="A23" t="s">
        <v>162</v>
      </c>
    </row>
    <row r="24" spans="1:4" x14ac:dyDescent="0.25">
      <c r="A24" t="s">
        <v>161</v>
      </c>
    </row>
    <row r="25" spans="1:4" x14ac:dyDescent="0.25">
      <c r="A25" t="s">
        <v>160</v>
      </c>
    </row>
    <row r="28" spans="1:4" x14ac:dyDescent="0.25">
      <c r="A28" t="s">
        <v>155</v>
      </c>
      <c r="B28" s="4">
        <f>+B30*C28/C30</f>
        <v>32.488</v>
      </c>
      <c r="C28">
        <f>+C29+C30</f>
        <v>124</v>
      </c>
      <c r="D28" t="s">
        <v>159</v>
      </c>
    </row>
    <row r="29" spans="1:4" ht="15.75" thickBot="1" x14ac:dyDescent="0.3">
      <c r="A29" s="24" t="s">
        <v>152</v>
      </c>
      <c r="B29" s="25"/>
      <c r="C29" s="24">
        <v>24</v>
      </c>
      <c r="D29" t="s">
        <v>3</v>
      </c>
    </row>
    <row r="30" spans="1:4" x14ac:dyDescent="0.25">
      <c r="A30" t="s">
        <v>153</v>
      </c>
      <c r="B30" s="4">
        <f>+B31+B32</f>
        <v>26.2</v>
      </c>
      <c r="C30">
        <v>100</v>
      </c>
      <c r="D30" t="s">
        <v>3</v>
      </c>
    </row>
    <row r="31" spans="1:4" ht="15.75" thickBot="1" x14ac:dyDescent="0.3">
      <c r="A31" s="24" t="s">
        <v>158</v>
      </c>
      <c r="B31" s="25">
        <v>6.2</v>
      </c>
      <c r="C31" s="24"/>
    </row>
    <row r="32" spans="1:4" x14ac:dyDescent="0.25">
      <c r="A32" t="s">
        <v>149</v>
      </c>
      <c r="B32" s="4">
        <v>20</v>
      </c>
    </row>
    <row r="34" spans="1:8" x14ac:dyDescent="0.25">
      <c r="A34" t="s">
        <v>157</v>
      </c>
    </row>
    <row r="35" spans="1:8" x14ac:dyDescent="0.25">
      <c r="A35" t="s">
        <v>156</v>
      </c>
    </row>
    <row r="37" spans="1:8" x14ac:dyDescent="0.25">
      <c r="A37" t="s">
        <v>155</v>
      </c>
    </row>
    <row r="38" spans="1:8" ht="15.75" thickBot="1" x14ac:dyDescent="0.3">
      <c r="A38" s="24" t="s">
        <v>152</v>
      </c>
      <c r="B38" s="25"/>
      <c r="C38" s="24"/>
      <c r="F38" t="s">
        <v>154</v>
      </c>
      <c r="G38" s="4">
        <v>4.5</v>
      </c>
      <c r="H38">
        <v>124</v>
      </c>
    </row>
    <row r="39" spans="1:8" x14ac:dyDescent="0.25">
      <c r="A39" t="s">
        <v>153</v>
      </c>
      <c r="B39" s="4">
        <v>23</v>
      </c>
      <c r="C39">
        <v>100</v>
      </c>
      <c r="D39" t="s">
        <v>3</v>
      </c>
      <c r="F39" t="s">
        <v>152</v>
      </c>
      <c r="G39" s="4"/>
      <c r="H39" s="16">
        <v>24</v>
      </c>
    </row>
    <row r="40" spans="1:8" ht="15.75" thickBot="1" x14ac:dyDescent="0.3">
      <c r="A40" s="24" t="s">
        <v>151</v>
      </c>
      <c r="B40" s="50">
        <f>+G40</f>
        <v>3.629032258064516</v>
      </c>
      <c r="C40" s="24"/>
      <c r="F40" t="s">
        <v>150</v>
      </c>
      <c r="G40" s="3">
        <f>+G38*H40/H38</f>
        <v>3.629032258064516</v>
      </c>
      <c r="H40">
        <v>100</v>
      </c>
    </row>
    <row r="41" spans="1:8" x14ac:dyDescent="0.25">
      <c r="A41" t="s">
        <v>149</v>
      </c>
      <c r="B41" s="4">
        <f>+B39-B40</f>
        <v>19.370967741935484</v>
      </c>
      <c r="C41" s="49">
        <f>+B41*C39/B39</f>
        <v>84.221598877980355</v>
      </c>
      <c r="D41" t="s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B7" zoomScale="145" zoomScaleNormal="145" workbookViewId="0">
      <selection activeCell="D16" sqref="D16"/>
    </sheetView>
  </sheetViews>
  <sheetFormatPr defaultRowHeight="15" x14ac:dyDescent="0.25"/>
  <cols>
    <col min="1" max="1" width="14.140625" customWidth="1"/>
    <col min="7" max="7" width="15.140625" customWidth="1"/>
  </cols>
  <sheetData>
    <row r="1" spans="1:9" x14ac:dyDescent="0.25">
      <c r="A1" t="s">
        <v>172</v>
      </c>
      <c r="G1" t="s">
        <v>183</v>
      </c>
    </row>
    <row r="2" spans="1:9" x14ac:dyDescent="0.25">
      <c r="A2" t="s">
        <v>173</v>
      </c>
      <c r="B2">
        <v>28</v>
      </c>
      <c r="C2" t="s">
        <v>2</v>
      </c>
      <c r="G2" t="s">
        <v>173</v>
      </c>
      <c r="H2">
        <v>5</v>
      </c>
      <c r="I2" t="s">
        <v>2</v>
      </c>
    </row>
    <row r="3" spans="1:9" x14ac:dyDescent="0.25">
      <c r="A3" t="s">
        <v>10</v>
      </c>
      <c r="B3" s="4">
        <f>((0.18*30)+1.5)*100/114</f>
        <v>6.0526315789473681</v>
      </c>
      <c r="C3" t="s">
        <v>2</v>
      </c>
      <c r="G3" t="s">
        <v>10</v>
      </c>
      <c r="H3" s="4">
        <v>0.7</v>
      </c>
      <c r="I3" t="s">
        <v>2</v>
      </c>
    </row>
    <row r="4" spans="1:9" x14ac:dyDescent="0.25">
      <c r="A4" t="s">
        <v>176</v>
      </c>
      <c r="B4">
        <v>8</v>
      </c>
      <c r="C4" t="s">
        <v>67</v>
      </c>
      <c r="G4" t="s">
        <v>176</v>
      </c>
      <c r="H4">
        <v>8</v>
      </c>
      <c r="I4" t="s">
        <v>67</v>
      </c>
    </row>
    <row r="5" spans="1:9" x14ac:dyDescent="0.25">
      <c r="A5" t="s">
        <v>177</v>
      </c>
      <c r="B5">
        <v>20</v>
      </c>
      <c r="C5" t="s">
        <v>178</v>
      </c>
      <c r="G5" t="s">
        <v>177</v>
      </c>
      <c r="H5">
        <v>20</v>
      </c>
      <c r="I5" t="s">
        <v>178</v>
      </c>
    </row>
    <row r="8" spans="1:9" x14ac:dyDescent="0.25">
      <c r="A8" t="s">
        <v>155</v>
      </c>
      <c r="B8" s="54">
        <f>B2</f>
        <v>28</v>
      </c>
      <c r="C8">
        <f>+C9+C10</f>
        <v>114</v>
      </c>
      <c r="G8" t="s">
        <v>155</v>
      </c>
      <c r="H8" s="54">
        <f>H2</f>
        <v>5</v>
      </c>
      <c r="I8">
        <f>+I9+I10</f>
        <v>114</v>
      </c>
    </row>
    <row r="9" spans="1:9" ht="15.75" thickBot="1" x14ac:dyDescent="0.3">
      <c r="A9" s="24" t="s">
        <v>152</v>
      </c>
      <c r="B9" s="25">
        <f>B8-B10</f>
        <v>3.4385964912280684</v>
      </c>
      <c r="C9" s="24">
        <v>14</v>
      </c>
      <c r="G9" s="24" t="s">
        <v>152</v>
      </c>
      <c r="H9" s="25">
        <f>H8-H10</f>
        <v>0.61403508771929793</v>
      </c>
      <c r="I9" s="24">
        <v>14</v>
      </c>
    </row>
    <row r="10" spans="1:9" x14ac:dyDescent="0.25">
      <c r="A10" t="s">
        <v>153</v>
      </c>
      <c r="B10" s="4">
        <f>B8*C10/C8</f>
        <v>24.561403508771932</v>
      </c>
      <c r="C10">
        <v>100</v>
      </c>
      <c r="D10" t="s">
        <v>174</v>
      </c>
      <c r="G10" t="s">
        <v>153</v>
      </c>
      <c r="H10" s="4">
        <f>H8*I10/I8</f>
        <v>4.3859649122807021</v>
      </c>
      <c r="I10">
        <v>100</v>
      </c>
    </row>
    <row r="11" spans="1:9" ht="15.75" thickBot="1" x14ac:dyDescent="0.3">
      <c r="A11" s="24" t="s">
        <v>158</v>
      </c>
      <c r="B11" s="52">
        <f>B3</f>
        <v>6.0526315789473681</v>
      </c>
      <c r="C11" s="24"/>
      <c r="G11" s="24" t="s">
        <v>158</v>
      </c>
      <c r="H11" s="52">
        <f>H3</f>
        <v>0.7</v>
      </c>
      <c r="I11" s="24"/>
    </row>
    <row r="12" spans="1:9" x14ac:dyDescent="0.25">
      <c r="A12" t="s">
        <v>149</v>
      </c>
      <c r="B12" s="4">
        <f>B10-B11</f>
        <v>18.508771929824562</v>
      </c>
      <c r="C12" s="53">
        <f>B12*C10/B10</f>
        <v>75.357142857142847</v>
      </c>
      <c r="D12" t="s">
        <v>175</v>
      </c>
      <c r="G12" t="s">
        <v>149</v>
      </c>
      <c r="H12" s="4">
        <f>H10-H11</f>
        <v>3.6859649122807019</v>
      </c>
      <c r="I12" s="53">
        <f>H12*I10/H10</f>
        <v>84.039999999999992</v>
      </c>
    </row>
    <row r="13" spans="1:9" ht="15.75" thickBot="1" x14ac:dyDescent="0.3">
      <c r="A13" s="24" t="s">
        <v>179</v>
      </c>
      <c r="B13" s="25">
        <f>8*20/60</f>
        <v>2.6666666666666665</v>
      </c>
      <c r="C13" s="24"/>
      <c r="D13" t="s">
        <v>181</v>
      </c>
      <c r="G13" s="24" t="s">
        <v>179</v>
      </c>
      <c r="H13" s="25">
        <f>8*20/60</f>
        <v>2.6666666666666665</v>
      </c>
      <c r="I13" s="24"/>
    </row>
    <row r="14" spans="1:9" x14ac:dyDescent="0.25">
      <c r="A14" s="26" t="s">
        <v>180</v>
      </c>
      <c r="B14" s="4">
        <f>B12-B13</f>
        <v>15.842105263157896</v>
      </c>
      <c r="C14" s="2">
        <f>B14*C10/B10</f>
        <v>64.5</v>
      </c>
      <c r="D14" t="s">
        <v>182</v>
      </c>
      <c r="G14" s="26" t="s">
        <v>180</v>
      </c>
      <c r="H14" s="4">
        <f>H12-H13</f>
        <v>1.0192982456140354</v>
      </c>
      <c r="I14" s="2">
        <f>H14*I10/H10</f>
        <v>23.240000000000006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pros_lisä</vt:lpstr>
      <vt:lpstr>pros1</vt:lpstr>
      <vt:lpstr>pros2</vt:lpstr>
      <vt:lpstr>mittay</vt:lpstr>
      <vt:lpstr>alkopit%</vt:lpstr>
      <vt:lpstr>ruokal</vt:lpstr>
      <vt:lpstr>ruoka2</vt:lpstr>
      <vt:lpstr>tuoteh esim</vt:lpstr>
      <vt:lpstr>palkkak</vt:lpstr>
      <vt:lpstr>tuloslask</vt:lpstr>
      <vt:lpstr>korot</vt:lpstr>
      <vt:lpstr>ind</vt:lpstr>
      <vt:lpstr>kertausta</vt:lpstr>
    </vt:vector>
  </TitlesOfParts>
  <Company>SAVONIA-AMK OY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Selander</dc:creator>
  <cp:lastModifiedBy>Kai Selander</cp:lastModifiedBy>
  <dcterms:created xsi:type="dcterms:W3CDTF">2018-01-09T12:51:11Z</dcterms:created>
  <dcterms:modified xsi:type="dcterms:W3CDTF">2018-03-23T09:38:13Z</dcterms:modified>
</cp:coreProperties>
</file>