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Z:\NautaNurmi\eMulli laskurin kehitystyö 2017-\"/>
    </mc:Choice>
  </mc:AlternateContent>
  <workbookProtection workbookAlgorithmName="SHA-512" workbookHashValue="eMNvo7/9IU64GbEvcrHJxCEVKXhwj7KJZtLU4gwj/cbf9/uNP+vnlILYCh0pPloOc4u+nspV9jLIZXRPqCdoNQ==" workbookSaltValue="SGM1CnKXKTEk7KtgUVNM0Q==" workbookSpinCount="100000" lockStructure="1"/>
  <bookViews>
    <workbookView showSheetTabs="0" xWindow="0" yWindow="0" windowWidth="28800" windowHeight="12300"/>
  </bookViews>
  <sheets>
    <sheet name="Valitut tuet" sheetId="1" r:id="rId1"/>
    <sheet name="Tukitaulukko" sheetId="2" r:id="rId2"/>
    <sheet name="Tukiraportti" sheetId="3" r:id="rId3"/>
  </sheets>
  <definedNames>
    <definedName name="_xlnm.Print_Area" localSheetId="2">Tukiraportti!$A$1:$J$60</definedName>
  </definedNames>
  <calcPr calcId="162913" refMode="R1C1" concurrentCalc="0"/>
</workbook>
</file>

<file path=xl/calcChain.xml><?xml version="1.0" encoding="utf-8"?>
<calcChain xmlns="http://schemas.openxmlformats.org/spreadsheetml/2006/main">
  <c r="L10" i="1" l="1"/>
  <c r="J38" i="1"/>
  <c r="E20" i="3"/>
  <c r="AA30" i="1"/>
  <c r="H13" i="1"/>
  <c r="I9" i="1"/>
  <c r="F59" i="1"/>
  <c r="G58" i="1"/>
  <c r="I51" i="1"/>
  <c r="I52" i="1"/>
  <c r="F50" i="1"/>
  <c r="F52" i="1"/>
  <c r="G52" i="1"/>
  <c r="H52" i="1"/>
  <c r="F54" i="1"/>
  <c r="F55" i="1"/>
  <c r="F56" i="1"/>
  <c r="F57" i="1"/>
  <c r="F53" i="1"/>
  <c r="D15" i="1"/>
  <c r="J67" i="1"/>
  <c r="I50" i="1"/>
  <c r="H61" i="1"/>
  <c r="M61" i="1"/>
  <c r="S61" i="1"/>
  <c r="T61" i="1"/>
  <c r="U61" i="1"/>
  <c r="V61" i="1"/>
  <c r="L51" i="1"/>
  <c r="O51" i="1"/>
  <c r="R51" i="1"/>
  <c r="E17" i="1"/>
  <c r="F25" i="1"/>
  <c r="F24" i="1"/>
  <c r="F23" i="1"/>
  <c r="F22" i="1"/>
  <c r="F21" i="1"/>
  <c r="F20" i="1"/>
  <c r="F19" i="1"/>
  <c r="F18" i="1"/>
  <c r="F16" i="1"/>
  <c r="F15" i="1"/>
  <c r="F14" i="1"/>
  <c r="F10" i="1"/>
  <c r="L3" i="1"/>
  <c r="L11" i="1"/>
  <c r="Z35" i="1"/>
  <c r="F13" i="3"/>
  <c r="J31" i="1"/>
  <c r="L50" i="1"/>
  <c r="I61" i="1"/>
  <c r="N61" i="1"/>
  <c r="G59" i="1"/>
  <c r="R52" i="1"/>
  <c r="O50" i="1"/>
  <c r="J7" i="1"/>
  <c r="G50" i="1"/>
  <c r="M41" i="1"/>
  <c r="O52" i="1"/>
  <c r="M42" i="1"/>
  <c r="N42" i="1"/>
  <c r="R63" i="1"/>
  <c r="N41" i="1"/>
  <c r="R62" i="1"/>
  <c r="L52" i="1"/>
  <c r="R50" i="1"/>
  <c r="K61" i="1"/>
  <c r="P61" i="1"/>
  <c r="J61" i="1"/>
  <c r="O61" i="1"/>
  <c r="AB45" i="1"/>
  <c r="AC45" i="1"/>
  <c r="AD45" i="1"/>
  <c r="AE45" i="1"/>
  <c r="AA45" i="1"/>
  <c r="M43" i="1"/>
  <c r="M44" i="1"/>
  <c r="Z34" i="1"/>
  <c r="AA32" i="1"/>
  <c r="O13" i="1"/>
  <c r="N43" i="1"/>
  <c r="R64" i="1"/>
  <c r="M45" i="1"/>
  <c r="N45" i="1"/>
  <c r="R66" i="1"/>
  <c r="N44" i="1"/>
  <c r="R65" i="1"/>
  <c r="AA35" i="1"/>
  <c r="AA36" i="1"/>
  <c r="B23" i="1"/>
  <c r="B21" i="1"/>
  <c r="B19" i="1"/>
  <c r="D14" i="1"/>
  <c r="H14" i="1"/>
  <c r="K32" i="1"/>
  <c r="Z41" i="1"/>
  <c r="Z42" i="1"/>
  <c r="F8" i="1"/>
  <c r="L9" i="1"/>
  <c r="G57" i="1"/>
  <c r="H24" i="1"/>
  <c r="H16" i="1"/>
  <c r="H18" i="1"/>
  <c r="H22" i="1"/>
  <c r="H25" i="1"/>
  <c r="H19" i="1"/>
  <c r="H20" i="1"/>
  <c r="H21" i="1"/>
  <c r="H23" i="1"/>
  <c r="H15" i="1"/>
  <c r="H17" i="1"/>
  <c r="AE32" i="1"/>
  <c r="AE35" i="1"/>
  <c r="H36" i="1"/>
  <c r="P30" i="1"/>
  <c r="W30" i="1"/>
  <c r="V30" i="1"/>
  <c r="U30" i="1"/>
  <c r="T30" i="1"/>
  <c r="S30" i="1"/>
  <c r="R30" i="1"/>
  <c r="Q30" i="1"/>
  <c r="I10" i="1"/>
  <c r="L6" i="1"/>
  <c r="L8" i="1"/>
  <c r="M15" i="1"/>
  <c r="L5" i="1"/>
  <c r="G53" i="1"/>
  <c r="L7" i="1"/>
  <c r="E70" i="3"/>
  <c r="E71" i="3"/>
  <c r="H76" i="3"/>
  <c r="E68" i="3"/>
  <c r="E69" i="3"/>
  <c r="E72" i="3"/>
  <c r="E73" i="3"/>
  <c r="E74" i="3"/>
  <c r="E75" i="3"/>
  <c r="E76" i="3"/>
  <c r="H66" i="3"/>
  <c r="H70" i="3"/>
  <c r="H71" i="3"/>
  <c r="H77" i="3"/>
  <c r="N67" i="3"/>
  <c r="E67" i="3"/>
  <c r="E66" i="3"/>
  <c r="H65" i="3"/>
  <c r="H64" i="3"/>
  <c r="M63" i="3"/>
  <c r="L63" i="3"/>
  <c r="K63" i="3"/>
  <c r="J63" i="3"/>
  <c r="I63" i="3"/>
  <c r="F7" i="3"/>
  <c r="E6" i="3"/>
  <c r="F5" i="3"/>
  <c r="E5" i="3"/>
  <c r="F4" i="3"/>
  <c r="E3" i="3"/>
  <c r="D2" i="3"/>
  <c r="R16" i="2"/>
  <c r="R15" i="2"/>
  <c r="R14" i="2"/>
  <c r="R13" i="2"/>
  <c r="R12" i="2"/>
  <c r="R11" i="2"/>
  <c r="R10" i="2"/>
  <c r="R9" i="2"/>
  <c r="R8" i="2"/>
  <c r="E3" i="2"/>
  <c r="E2" i="2"/>
  <c r="H34" i="1"/>
  <c r="G56" i="1"/>
  <c r="AC33" i="1"/>
  <c r="G55" i="1"/>
  <c r="H35" i="1"/>
  <c r="G54" i="1"/>
  <c r="AE33" i="1"/>
  <c r="AE34" i="1"/>
  <c r="O40" i="1"/>
  <c r="AE42" i="1"/>
  <c r="AE36" i="1"/>
  <c r="AB33" i="1"/>
  <c r="AD33" i="1"/>
  <c r="H32" i="1"/>
  <c r="AA33" i="1"/>
  <c r="AA34" i="1"/>
  <c r="H33" i="1"/>
  <c r="F66" i="3"/>
  <c r="E17" i="3"/>
  <c r="F67" i="3"/>
  <c r="E18" i="3"/>
  <c r="F76" i="3"/>
  <c r="E28" i="3"/>
  <c r="F68" i="3"/>
  <c r="E19" i="3"/>
  <c r="G74" i="3"/>
  <c r="F75" i="3"/>
  <c r="E27" i="3"/>
  <c r="G68" i="3"/>
  <c r="E21" i="3"/>
  <c r="F69" i="3"/>
  <c r="E22" i="3"/>
  <c r="F70" i="3"/>
  <c r="E23" i="3"/>
  <c r="F71" i="3"/>
  <c r="E24" i="3"/>
  <c r="F72" i="3"/>
  <c r="E25" i="3"/>
  <c r="F73" i="3"/>
  <c r="E26" i="3"/>
  <c r="F74" i="3"/>
  <c r="G66" i="3"/>
  <c r="G72" i="3"/>
  <c r="G76" i="3"/>
  <c r="G67" i="3"/>
  <c r="G69" i="3"/>
  <c r="G70" i="3"/>
  <c r="G71" i="3"/>
  <c r="G73" i="3"/>
  <c r="G75" i="3"/>
  <c r="AC34" i="1"/>
  <c r="AD32" i="1"/>
  <c r="AB32" i="1"/>
  <c r="AB42" i="1"/>
  <c r="AC32" i="1"/>
  <c r="AB34" i="1"/>
  <c r="AD42" i="1"/>
  <c r="AF42" i="1"/>
  <c r="AD34" i="1"/>
  <c r="AE37" i="1"/>
  <c r="AC41" i="1"/>
  <c r="AC42" i="1"/>
  <c r="AA41" i="1"/>
  <c r="AA42" i="1"/>
  <c r="AD41" i="1"/>
  <c r="AE41" i="1"/>
  <c r="AB41" i="1"/>
  <c r="O67" i="3"/>
  <c r="P67" i="3"/>
  <c r="I18" i="3"/>
  <c r="H10" i="3"/>
  <c r="AE38" i="1"/>
  <c r="AE43" i="1"/>
  <c r="AD36" i="1"/>
  <c r="AD35" i="1"/>
  <c r="AC36" i="1"/>
  <c r="AC35" i="1"/>
  <c r="AB36" i="1"/>
  <c r="AB35" i="1"/>
  <c r="AA37" i="1"/>
  <c r="AA38" i="1"/>
  <c r="AA43" i="1"/>
  <c r="AA40" i="1"/>
  <c r="AB37" i="1"/>
  <c r="AB38" i="1"/>
  <c r="AD37" i="1"/>
  <c r="AC37" i="1"/>
  <c r="AC43" i="1"/>
  <c r="AE40" i="1"/>
  <c r="AE46" i="1"/>
  <c r="AA46" i="1"/>
  <c r="M9" i="1"/>
  <c r="G15" i="1"/>
  <c r="AD38" i="1"/>
  <c r="AD43" i="1"/>
  <c r="AB43" i="1"/>
  <c r="AC38" i="1"/>
  <c r="M5" i="1"/>
  <c r="AA47" i="1"/>
  <c r="H57" i="1"/>
  <c r="N15" i="1"/>
  <c r="K18" i="1"/>
  <c r="K25" i="1"/>
  <c r="K22" i="1"/>
  <c r="K21" i="1"/>
  <c r="K23" i="1"/>
  <c r="M64" i="3"/>
  <c r="K24" i="1"/>
  <c r="I36" i="1"/>
  <c r="O45" i="1"/>
  <c r="AB40" i="1"/>
  <c r="AB46" i="1"/>
  <c r="AD40" i="1"/>
  <c r="AD46" i="1"/>
  <c r="AC40" i="1"/>
  <c r="AC46" i="1"/>
  <c r="M6" i="1"/>
  <c r="AB47" i="1"/>
  <c r="O15" i="1"/>
  <c r="I10" i="3"/>
  <c r="G10" i="3"/>
  <c r="W45" i="1"/>
  <c r="U45" i="1"/>
  <c r="T45" i="1"/>
  <c r="P45" i="1"/>
  <c r="V45" i="1"/>
  <c r="S45" i="1"/>
  <c r="AA48" i="1"/>
  <c r="M7" i="1"/>
  <c r="M8" i="1"/>
  <c r="H56" i="1"/>
  <c r="Z46" i="1"/>
  <c r="K64" i="3"/>
  <c r="K73" i="3"/>
  <c r="I35" i="1"/>
  <c r="H55" i="1"/>
  <c r="J22" i="1"/>
  <c r="L22" i="1"/>
  <c r="L64" i="3"/>
  <c r="L73" i="3"/>
  <c r="M73" i="3"/>
  <c r="O44" i="1"/>
  <c r="T44" i="1"/>
  <c r="T46" i="1"/>
  <c r="N22" i="1"/>
  <c r="M22" i="1"/>
  <c r="I25" i="3"/>
  <c r="N73" i="3"/>
  <c r="O73" i="3"/>
  <c r="P73" i="3"/>
  <c r="I33" i="1"/>
  <c r="O42" i="1"/>
  <c r="K14" i="1"/>
  <c r="G9" i="3"/>
  <c r="J21" i="1"/>
  <c r="L21" i="1"/>
  <c r="J16" i="1"/>
  <c r="L16" i="1"/>
  <c r="J24" i="1"/>
  <c r="L24" i="1"/>
  <c r="J25" i="1"/>
  <c r="L14" i="1"/>
  <c r="C14" i="1"/>
  <c r="I34" i="1"/>
  <c r="O43" i="1"/>
  <c r="J23" i="1"/>
  <c r="L23" i="1"/>
  <c r="J18" i="1"/>
  <c r="L18" i="1"/>
  <c r="J64" i="3"/>
  <c r="J66" i="3"/>
  <c r="H54" i="1"/>
  <c r="M14" i="1"/>
  <c r="I17" i="3"/>
  <c r="M16" i="1"/>
  <c r="O68" i="3"/>
  <c r="J72" i="3"/>
  <c r="K72" i="3"/>
  <c r="L72" i="3"/>
  <c r="M72" i="3"/>
  <c r="J68" i="3"/>
  <c r="K68" i="3"/>
  <c r="N68" i="3"/>
  <c r="M18" i="1"/>
  <c r="O69" i="3"/>
  <c r="M23" i="1"/>
  <c r="O74" i="3"/>
  <c r="M24" i="1"/>
  <c r="O75" i="3"/>
  <c r="J75" i="3"/>
  <c r="K75" i="3"/>
  <c r="L75" i="3"/>
  <c r="M75" i="3"/>
  <c r="J69" i="3"/>
  <c r="K69" i="3"/>
  <c r="L69" i="3"/>
  <c r="M21" i="1"/>
  <c r="I24" i="3"/>
  <c r="W43" i="1"/>
  <c r="V43" i="1"/>
  <c r="V46" i="1"/>
  <c r="N24" i="1"/>
  <c r="S43" i="1"/>
  <c r="S46" i="1"/>
  <c r="N21" i="1"/>
  <c r="P43" i="1"/>
  <c r="P46" i="1"/>
  <c r="N18" i="1"/>
  <c r="U43" i="1"/>
  <c r="U46" i="1"/>
  <c r="N23" i="1"/>
  <c r="J74" i="3"/>
  <c r="K66" i="3"/>
  <c r="N66" i="3"/>
  <c r="P68" i="3"/>
  <c r="I19" i="3"/>
  <c r="I26" i="3"/>
  <c r="I27" i="3"/>
  <c r="H9" i="3"/>
  <c r="O66" i="3"/>
  <c r="P66" i="3"/>
  <c r="I21" i="3"/>
  <c r="N14" i="1"/>
  <c r="O14" i="1"/>
  <c r="M17" i="1"/>
  <c r="I20" i="3"/>
  <c r="N72" i="3"/>
  <c r="O72" i="3"/>
  <c r="K74" i="3"/>
  <c r="L74" i="3"/>
  <c r="M74" i="3"/>
  <c r="M69" i="3"/>
  <c r="N75" i="3"/>
  <c r="P75" i="3"/>
  <c r="P72" i="3"/>
  <c r="I9" i="3"/>
  <c r="N69" i="3"/>
  <c r="P69" i="3"/>
  <c r="N74" i="3"/>
  <c r="P74" i="3"/>
  <c r="M10" i="1"/>
  <c r="I25" i="1"/>
  <c r="M25" i="1"/>
  <c r="O76" i="3"/>
  <c r="I19" i="1"/>
  <c r="L19" i="1"/>
  <c r="I20" i="1"/>
  <c r="L20" i="1"/>
  <c r="I64" i="3"/>
  <c r="I32" i="1"/>
  <c r="O41" i="1"/>
  <c r="H53" i="1"/>
  <c r="I53" i="1"/>
  <c r="J53" i="1"/>
  <c r="H58" i="1"/>
  <c r="M20" i="1"/>
  <c r="O71" i="3"/>
  <c r="J32" i="1"/>
  <c r="L32" i="1"/>
  <c r="K33" i="1"/>
  <c r="W41" i="1"/>
  <c r="W46" i="1"/>
  <c r="N25" i="1"/>
  <c r="O46" i="1"/>
  <c r="R41" i="1"/>
  <c r="R46" i="1"/>
  <c r="N20" i="1"/>
  <c r="I70" i="3"/>
  <c r="I65" i="3"/>
  <c r="I76" i="3"/>
  <c r="I71" i="3"/>
  <c r="N71" i="3"/>
  <c r="J65" i="3"/>
  <c r="K65" i="3"/>
  <c r="L65" i="3"/>
  <c r="M65" i="3"/>
  <c r="H62" i="1"/>
  <c r="Q41" i="1"/>
  <c r="Q46" i="1"/>
  <c r="N19" i="1"/>
  <c r="M19" i="1"/>
  <c r="I28" i="3"/>
  <c r="L25" i="1"/>
  <c r="P71" i="3"/>
  <c r="K53" i="1"/>
  <c r="L53" i="1"/>
  <c r="N53" i="1"/>
  <c r="I23" i="3"/>
  <c r="N26" i="1"/>
  <c r="K34" i="1"/>
  <c r="J34" i="1"/>
  <c r="J33" i="1"/>
  <c r="L33" i="1"/>
  <c r="M33" i="1"/>
  <c r="K35" i="1"/>
  <c r="J35" i="1"/>
  <c r="L35" i="1"/>
  <c r="M35" i="1"/>
  <c r="M32" i="1"/>
  <c r="L62" i="1"/>
  <c r="I22" i="3"/>
  <c r="M26" i="1"/>
  <c r="O70" i="3"/>
  <c r="J76" i="3"/>
  <c r="N70" i="3"/>
  <c r="I77" i="3"/>
  <c r="I54" i="1"/>
  <c r="J54" i="1"/>
  <c r="S62" i="1"/>
  <c r="N32" i="1"/>
  <c r="O32" i="1"/>
  <c r="G32" i="1"/>
  <c r="L34" i="1"/>
  <c r="L65" i="1"/>
  <c r="N35" i="1"/>
  <c r="O35" i="1"/>
  <c r="I55" i="1"/>
  <c r="J55" i="1"/>
  <c r="K36" i="1"/>
  <c r="J77" i="3"/>
  <c r="K76" i="3"/>
  <c r="O53" i="1"/>
  <c r="Q53" i="1"/>
  <c r="R53" i="1"/>
  <c r="H12" i="3"/>
  <c r="M27" i="1"/>
  <c r="E8" i="1"/>
  <c r="F7" i="1"/>
  <c r="I29" i="3"/>
  <c r="I30" i="3"/>
  <c r="H63" i="1"/>
  <c r="K54" i="1"/>
  <c r="N33" i="1"/>
  <c r="O33" i="1"/>
  <c r="G33" i="1"/>
  <c r="L63" i="1"/>
  <c r="M62" i="1"/>
  <c r="I62" i="1"/>
  <c r="M53" i="1"/>
  <c r="P70" i="3"/>
  <c r="O77" i="3"/>
  <c r="M34" i="1"/>
  <c r="N34" i="1"/>
  <c r="O34" i="1"/>
  <c r="J36" i="1"/>
  <c r="L36" i="1"/>
  <c r="M36" i="1"/>
  <c r="S63" i="1"/>
  <c r="R32" i="1"/>
  <c r="R37" i="1"/>
  <c r="O20" i="1"/>
  <c r="Q32" i="1"/>
  <c r="Q37" i="1"/>
  <c r="O19" i="1"/>
  <c r="W32" i="1"/>
  <c r="I56" i="1"/>
  <c r="T62" i="1"/>
  <c r="N62" i="1"/>
  <c r="M63" i="1"/>
  <c r="I7" i="3"/>
  <c r="I8" i="3"/>
  <c r="I6" i="3"/>
  <c r="K62" i="1"/>
  <c r="S53" i="1"/>
  <c r="D19" i="1"/>
  <c r="D20" i="1"/>
  <c r="G35" i="1"/>
  <c r="T35" i="1"/>
  <c r="L54" i="1"/>
  <c r="J62" i="1"/>
  <c r="P53" i="1"/>
  <c r="K77" i="3"/>
  <c r="L76" i="3"/>
  <c r="H64" i="1"/>
  <c r="K55" i="1"/>
  <c r="L64" i="1"/>
  <c r="L66" i="1"/>
  <c r="N36" i="1"/>
  <c r="O36" i="1"/>
  <c r="S36" i="1"/>
  <c r="M37" i="1"/>
  <c r="S64" i="1"/>
  <c r="S67" i="1"/>
  <c r="S68" i="1"/>
  <c r="S69" i="1"/>
  <c r="K56" i="1"/>
  <c r="H65" i="1"/>
  <c r="J56" i="1"/>
  <c r="P36" i="1"/>
  <c r="L77" i="3"/>
  <c r="M76" i="3"/>
  <c r="M77" i="3"/>
  <c r="U62" i="1"/>
  <c r="O62" i="1"/>
  <c r="I63" i="1"/>
  <c r="M64" i="1"/>
  <c r="M67" i="1"/>
  <c r="V62" i="1"/>
  <c r="P62" i="1"/>
  <c r="N54" i="1"/>
  <c r="M54" i="1"/>
  <c r="W34" i="1"/>
  <c r="V34" i="1"/>
  <c r="U34" i="1"/>
  <c r="P34" i="1"/>
  <c r="G34" i="1"/>
  <c r="S34" i="1"/>
  <c r="W36" i="1"/>
  <c r="W37" i="1"/>
  <c r="O25" i="1"/>
  <c r="V36" i="1"/>
  <c r="V37" i="1"/>
  <c r="O24" i="1"/>
  <c r="U36" i="1"/>
  <c r="U37" i="1"/>
  <c r="O23" i="1"/>
  <c r="O37" i="1"/>
  <c r="G37" i="1"/>
  <c r="G36" i="1"/>
  <c r="E36" i="1"/>
  <c r="T36" i="1"/>
  <c r="T37" i="1"/>
  <c r="O22" i="1"/>
  <c r="M68" i="1"/>
  <c r="S37" i="1"/>
  <c r="O21" i="1"/>
  <c r="I57" i="1"/>
  <c r="S65" i="1"/>
  <c r="M65" i="1"/>
  <c r="T63" i="1"/>
  <c r="N63" i="1"/>
  <c r="L55" i="1"/>
  <c r="M55" i="1"/>
  <c r="P37" i="1"/>
  <c r="O18" i="1"/>
  <c r="O54" i="1"/>
  <c r="Q54" i="1"/>
  <c r="R54" i="1"/>
  <c r="N76" i="3"/>
  <c r="P76" i="3"/>
  <c r="N77" i="3"/>
  <c r="P77" i="3"/>
  <c r="D21" i="1"/>
  <c r="D25" i="1"/>
  <c r="D24" i="1"/>
  <c r="D22" i="1"/>
  <c r="D23" i="1"/>
  <c r="D18" i="1"/>
  <c r="H66" i="1"/>
  <c r="H67" i="1"/>
  <c r="K57" i="1"/>
  <c r="I58" i="1"/>
  <c r="L56" i="1"/>
  <c r="M56" i="1"/>
  <c r="J57" i="1"/>
  <c r="K63" i="1"/>
  <c r="S54" i="1"/>
  <c r="O26" i="1"/>
  <c r="M69" i="1"/>
  <c r="J63" i="1"/>
  <c r="P54" i="1"/>
  <c r="I64" i="1"/>
  <c r="N55" i="1"/>
  <c r="N64" i="1"/>
  <c r="L57" i="1"/>
  <c r="I65" i="1"/>
  <c r="N56" i="1"/>
  <c r="S66" i="1"/>
  <c r="M66" i="1"/>
  <c r="O55" i="1"/>
  <c r="U63" i="1"/>
  <c r="O63" i="1"/>
  <c r="T64" i="1"/>
  <c r="N67" i="1"/>
  <c r="I12" i="3"/>
  <c r="G12" i="3"/>
  <c r="V63" i="1"/>
  <c r="P63" i="1"/>
  <c r="T67" i="1"/>
  <c r="T68" i="1"/>
  <c r="T65" i="1"/>
  <c r="N65" i="1"/>
  <c r="I66" i="1"/>
  <c r="I67" i="1"/>
  <c r="G67" i="1"/>
  <c r="L58" i="1"/>
  <c r="N57" i="1"/>
  <c r="M57" i="1"/>
  <c r="J64" i="1"/>
  <c r="N68" i="1"/>
  <c r="P55" i="1"/>
  <c r="O56" i="1"/>
  <c r="J65" i="1"/>
  <c r="Q55" i="1"/>
  <c r="R55" i="1"/>
  <c r="P56" i="1"/>
  <c r="O57" i="1"/>
  <c r="T69" i="1"/>
  <c r="U65" i="1"/>
  <c r="O65" i="1"/>
  <c r="Q56" i="1"/>
  <c r="R56" i="1"/>
  <c r="K65" i="1"/>
  <c r="T66" i="1"/>
  <c r="N66" i="1"/>
  <c r="U64" i="1"/>
  <c r="O64" i="1"/>
  <c r="K64" i="1"/>
  <c r="S55" i="1"/>
  <c r="N69" i="1"/>
  <c r="U67" i="1"/>
  <c r="O67" i="1"/>
  <c r="O68" i="1"/>
  <c r="O69" i="1"/>
  <c r="S56" i="1"/>
  <c r="V65" i="1"/>
  <c r="P65" i="1"/>
  <c r="J66" i="1"/>
  <c r="O58" i="1"/>
  <c r="Q57" i="1"/>
  <c r="R57" i="1"/>
  <c r="P57" i="1"/>
  <c r="V64" i="1"/>
  <c r="V67" i="1"/>
  <c r="P64" i="1"/>
  <c r="P67" i="1"/>
  <c r="U68" i="1"/>
  <c r="R67" i="1"/>
  <c r="L67" i="1"/>
  <c r="K66" i="1"/>
  <c r="R58" i="1"/>
  <c r="H59" i="1"/>
  <c r="S57" i="1"/>
  <c r="U66" i="1"/>
  <c r="O66" i="1"/>
  <c r="V68" i="1"/>
  <c r="P68" i="1"/>
  <c r="P69" i="1"/>
  <c r="L69" i="1"/>
  <c r="C16" i="1"/>
  <c r="R68" i="1"/>
  <c r="N16" i="1"/>
  <c r="N17" i="1"/>
  <c r="N27" i="1"/>
  <c r="E9" i="1"/>
  <c r="U69" i="1"/>
  <c r="V66" i="1"/>
  <c r="P66" i="1"/>
  <c r="L68" i="1"/>
  <c r="D16" i="1"/>
  <c r="V69" i="1"/>
  <c r="R69" i="1"/>
  <c r="O16" i="1"/>
  <c r="O17" i="1"/>
  <c r="O27" i="1"/>
  <c r="E10" i="1"/>
  <c r="B16" i="1"/>
  <c r="G11" i="3"/>
  <c r="I11" i="3"/>
  <c r="H11" i="3"/>
  <c r="I13" i="3"/>
</calcChain>
</file>

<file path=xl/comments1.xml><?xml version="1.0" encoding="utf-8"?>
<comments xmlns="http://schemas.openxmlformats.org/spreadsheetml/2006/main">
  <authors>
    <author>jyri tuovinen</author>
    <author>kotikansio</author>
    <author>kttuojy</author>
  </authors>
  <commentList>
    <comment ref="H4" authorId="0" shapeId="0">
      <text>
        <r>
          <rPr>
            <sz val="11"/>
            <color indexed="81"/>
            <rFont val="Cambria"/>
            <family val="1"/>
            <scheme val="major"/>
          </rPr>
          <t>Karjan koko tarkastelujakson alussa.</t>
        </r>
        <r>
          <rPr>
            <sz val="9"/>
            <color indexed="81"/>
            <rFont val="Tahoma"/>
            <family val="2"/>
          </rPr>
          <t xml:space="preserve">
</t>
        </r>
      </text>
    </comment>
    <comment ref="I5" authorId="0" shapeId="0">
      <text>
        <r>
          <rPr>
            <sz val="9"/>
            <color indexed="81"/>
            <rFont val="Tahoma"/>
            <family val="2"/>
          </rPr>
          <t>Voi olla korkeintan 100%</t>
        </r>
        <r>
          <rPr>
            <sz val="9"/>
            <color indexed="81"/>
            <rFont val="Tahoma"/>
            <family val="2"/>
          </rPr>
          <t xml:space="preserve">
</t>
        </r>
      </text>
    </comment>
    <comment ref="J6" authorId="1" shapeId="0">
      <text>
        <r>
          <rPr>
            <sz val="11"/>
            <color indexed="81"/>
            <rFont val="Cambria"/>
            <family val="1"/>
            <scheme val="major"/>
          </rPr>
          <t>Alla olevalla vierittimellä voit muuttaa kasvatusaikaa ja seurata tukien muutosta. 
Jos tuet eläintä kohti alkavat laskea päiviä lisättäessä, se tarkoittaa, että jonkun/joidenkin tukien maksu on päättynyt.</t>
        </r>
      </text>
    </comment>
    <comment ref="I7" authorId="0" shapeId="0">
      <text>
        <r>
          <rPr>
            <sz val="11"/>
            <color indexed="81"/>
            <rFont val="Cambria"/>
            <family val="1"/>
            <scheme val="major"/>
          </rPr>
          <t>Tulopäivää ei lasketa tukipäiväksi</t>
        </r>
        <r>
          <rPr>
            <sz val="9"/>
            <color indexed="81"/>
            <rFont val="Tahoma"/>
            <family val="2"/>
          </rPr>
          <t xml:space="preserve">
</t>
        </r>
      </text>
    </comment>
    <comment ref="B8" authorId="2" shapeId="0">
      <text>
        <r>
          <rPr>
            <b/>
            <u/>
            <sz val="11"/>
            <color indexed="81"/>
            <rFont val="Cambria"/>
            <family val="1"/>
            <scheme val="major"/>
          </rPr>
          <t xml:space="preserve">
Yleisiä ohjeita</t>
        </r>
        <r>
          <rPr>
            <b/>
            <sz val="11"/>
            <color indexed="81"/>
            <rFont val="Cambria"/>
            <family val="1"/>
            <scheme val="major"/>
          </rPr>
          <t xml:space="preserve">
</t>
        </r>
        <r>
          <rPr>
            <sz val="11"/>
            <color indexed="81"/>
            <rFont val="Cambria"/>
            <family val="1"/>
            <scheme val="major"/>
          </rPr>
          <t xml:space="preserve">
Tukilaskurin tarkoitus on laskea Eu- tuet, kansalliset tuet sekä ympäristötuet nautakarjalle.  Laskuri muodostuu kolmesta osasta:
    1.  </t>
        </r>
        <r>
          <rPr>
            <b/>
            <sz val="11"/>
            <color indexed="81"/>
            <rFont val="Cambria"/>
            <family val="1"/>
            <scheme val="major"/>
          </rPr>
          <t>Päävalinta,</t>
        </r>
        <r>
          <rPr>
            <sz val="11"/>
            <color indexed="81"/>
            <rFont val="Cambria"/>
            <family val="1"/>
            <scheme val="major"/>
          </rPr>
          <t xml:space="preserve"> jossa määrätään tukialue, karjan koko, kasvatuksen alkuikä, kasvatusajat sekä valitaan eläintuet.
    2. </t>
        </r>
        <r>
          <rPr>
            <b/>
            <sz val="11"/>
            <color indexed="81"/>
            <rFont val="Cambria"/>
            <family val="1"/>
            <scheme val="major"/>
          </rPr>
          <t>Tukitaulukko,</t>
        </r>
        <r>
          <rPr>
            <sz val="11"/>
            <color indexed="81"/>
            <rFont val="Cambria"/>
            <family val="1"/>
            <scheme val="major"/>
          </rPr>
          <t xml:space="preserve"> jossa määritetään eläintukien nimitykset sekä suuruudet tukialueittain.
    3. </t>
        </r>
        <r>
          <rPr>
            <b/>
            <sz val="11"/>
            <color indexed="81"/>
            <rFont val="Cambria"/>
            <family val="1"/>
            <scheme val="major"/>
          </rPr>
          <t>Tukiraportti,</t>
        </r>
        <r>
          <rPr>
            <sz val="11"/>
            <color indexed="81"/>
            <rFont val="Cambria"/>
            <family val="1"/>
            <scheme val="major"/>
          </rPr>
          <t xml:space="preserve"> jossa tuet on eriteltynä sekä tukien suuruutta, jakautumista sekä kehittymistä koskevat kuviot.
</t>
        </r>
        <r>
          <rPr>
            <u/>
            <sz val="11"/>
            <color indexed="81"/>
            <rFont val="Cambria"/>
            <family val="1"/>
            <scheme val="major"/>
          </rPr>
          <t>Tietoja voidaan syöttää vain valkoisiin kenttiin.</t>
        </r>
        <r>
          <rPr>
            <sz val="11"/>
            <color indexed="81"/>
            <rFont val="Cambria"/>
            <family val="1"/>
            <scheme val="major"/>
          </rPr>
          <t xml:space="preserve"> Eläintukien suuruus ja nimitykset määritetään tukitaulukossa. 
</t>
        </r>
        <r>
          <rPr>
            <u/>
            <sz val="11"/>
            <color indexed="81"/>
            <rFont val="Cambria"/>
            <family val="1"/>
            <scheme val="major"/>
          </rPr>
          <t>Tukipäivät</t>
        </r>
        <r>
          <rPr>
            <sz val="11"/>
            <color indexed="81"/>
            <rFont val="Cambria"/>
            <family val="1"/>
            <scheme val="major"/>
          </rPr>
          <t xml:space="preserve"> lasketaan päivätasolla. Kuolleisuuden vaikutus tukiin on arvioitu vuositason keskimääräisenä poistumana.
Joidenkin virheiden osalta ohjelma varoittaa niistä, mutta esimerkiksi päivämäärät tulisi olla todellisia. Ja numerokenttiin ei saa syöttää kirjaimia tai muita merkkejä.
</t>
        </r>
        <r>
          <rPr>
            <u/>
            <sz val="11"/>
            <color indexed="81"/>
            <rFont val="Cambria"/>
            <family val="1"/>
            <scheme val="major"/>
          </rPr>
          <t>Osassa kentissä ohjeita</t>
        </r>
        <r>
          <rPr>
            <sz val="11"/>
            <color indexed="81"/>
            <rFont val="Cambria"/>
            <family val="1"/>
            <scheme val="major"/>
          </rPr>
          <t>, joka näkyy</t>
        </r>
        <r>
          <rPr>
            <u/>
            <sz val="11"/>
            <color indexed="81"/>
            <rFont val="Cambria"/>
            <family val="1"/>
            <scheme val="major"/>
          </rPr>
          <t xml:space="preserve"> punaisena kolmiona</t>
        </r>
        <r>
          <rPr>
            <sz val="11"/>
            <color indexed="81"/>
            <rFont val="Cambria"/>
            <family val="1"/>
            <scheme val="major"/>
          </rPr>
          <t xml:space="preserve"> kentän oikeassa ylälaidassa ja siirtämällä hiiren kentän päälle näet ohjeistuksen tai muun kenttää koskevan tietoa.
</t>
        </r>
        <r>
          <rPr>
            <sz val="9"/>
            <color indexed="81"/>
            <rFont val="Tahoma"/>
            <family val="2"/>
          </rPr>
          <t xml:space="preserve">
</t>
        </r>
      </text>
    </comment>
    <comment ref="I8" authorId="1" shapeId="0">
      <text>
        <r>
          <rPr>
            <sz val="11"/>
            <color indexed="81"/>
            <rFont val="Cambria"/>
            <family val="1"/>
            <scheme val="major"/>
          </rPr>
          <t xml:space="preserve">Jos 20 kk tai yli, monet tuet loppuvat, tausta muuttuu punaiseksi!
</t>
        </r>
      </text>
    </comment>
    <comment ref="E9" authorId="0" shapeId="0">
      <text>
        <r>
          <rPr>
            <sz val="11"/>
            <color indexed="81"/>
            <rFont val="Cambria"/>
            <family val="1"/>
            <scheme val="major"/>
          </rPr>
          <t>Karjan tuki ilman rajoitteita tai kuolleisuutta.</t>
        </r>
        <r>
          <rPr>
            <b/>
            <sz val="11"/>
            <color indexed="81"/>
            <rFont val="Cambria"/>
            <family val="1"/>
            <scheme val="major"/>
          </rPr>
          <t xml:space="preserve">
</t>
        </r>
        <r>
          <rPr>
            <sz val="11"/>
            <color indexed="81"/>
            <rFont val="Cambria"/>
            <family val="1"/>
            <scheme val="major"/>
          </rPr>
          <t xml:space="preserve">
</t>
        </r>
      </text>
    </comment>
    <comment ref="E10" authorId="0" shapeId="0">
      <text>
        <r>
          <rPr>
            <sz val="11"/>
            <color indexed="81"/>
            <rFont val="Cambria"/>
            <family val="1"/>
            <scheme val="major"/>
          </rPr>
          <t xml:space="preserve">Sisältää karjan alueelliset kokorajoitteet sekä kuolleisuuden
</t>
        </r>
      </text>
    </comment>
    <comment ref="F10" authorId="1" shapeId="0">
      <text>
        <r>
          <rPr>
            <sz val="11"/>
            <color indexed="81"/>
            <rFont val="Tahoma"/>
            <family val="2"/>
          </rPr>
          <t>Kuolleisuus lasketaan päivätasolla ja oletetaan vakioksi (%-osuus)  koko kasvatusajalle.</t>
        </r>
      </text>
    </comment>
    <comment ref="L10" authorId="0" shapeId="0">
      <text>
        <r>
          <rPr>
            <sz val="11"/>
            <color indexed="81"/>
            <rFont val="Cambria"/>
            <family val="1"/>
            <scheme val="major"/>
          </rPr>
          <t>Lähtöpäivä lasketaan aina tukipäiväksi.</t>
        </r>
        <r>
          <rPr>
            <sz val="9"/>
            <color indexed="81"/>
            <rFont val="Tahoma"/>
            <family val="2"/>
          </rPr>
          <t xml:space="preserve">
</t>
        </r>
      </text>
    </comment>
    <comment ref="M10" authorId="0" shapeId="0">
      <text>
        <r>
          <rPr>
            <sz val="11"/>
            <color indexed="81"/>
            <rFont val="Cambria"/>
            <family val="1"/>
            <scheme val="major"/>
          </rPr>
          <t xml:space="preserve">Tukipäivien suurin mahdollinen määrä.
</t>
        </r>
      </text>
    </comment>
    <comment ref="E13" authorId="2" shapeId="0">
      <text>
        <r>
          <rPr>
            <b/>
            <sz val="11"/>
            <color indexed="81"/>
            <rFont val="Cambria"/>
            <family val="1"/>
            <scheme val="major"/>
          </rPr>
          <t>Valitse tuki merkitsemällä 1</t>
        </r>
        <r>
          <rPr>
            <sz val="11"/>
            <color indexed="81"/>
            <rFont val="Cambria"/>
            <family val="1"/>
            <scheme val="major"/>
          </rPr>
          <t xml:space="preserve">
Jos tyhjennät kentän tai laitat nollan, niin tukea ei ole valittu!</t>
        </r>
      </text>
    </comment>
    <comment ref="H13" authorId="2" shapeId="0">
      <text>
        <r>
          <rPr>
            <b/>
            <sz val="9"/>
            <color indexed="81"/>
            <rFont val="Tahoma"/>
            <family val="2"/>
          </rPr>
          <t>Tukialue valitaan ylhäällä oikealla!</t>
        </r>
        <r>
          <rPr>
            <sz val="9"/>
            <color indexed="81"/>
            <rFont val="Tahoma"/>
            <family val="2"/>
          </rPr>
          <t xml:space="preserve">
</t>
        </r>
      </text>
    </comment>
    <comment ref="I13" authorId="2" shapeId="0">
      <text>
        <r>
          <rPr>
            <sz val="9"/>
            <color indexed="81"/>
            <rFont val="Tahoma"/>
            <family val="2"/>
          </rPr>
          <t>Vasikat alle 6kk</t>
        </r>
        <r>
          <rPr>
            <b/>
            <sz val="9"/>
            <color indexed="81"/>
            <rFont val="Tahoma"/>
            <family val="2"/>
          </rPr>
          <t xml:space="preserve">
</t>
        </r>
      </text>
    </comment>
    <comment ref="J13" authorId="2" shapeId="0">
      <text>
        <r>
          <rPr>
            <sz val="11"/>
            <color indexed="81"/>
            <rFont val="Cambria"/>
            <family val="1"/>
            <scheme val="major"/>
          </rPr>
          <t>Naudat 6kk - alle 24 kk.</t>
        </r>
        <r>
          <rPr>
            <b/>
            <sz val="9"/>
            <color indexed="81"/>
            <rFont val="Tahoma"/>
            <family val="2"/>
          </rPr>
          <t xml:space="preserve">
</t>
        </r>
        <r>
          <rPr>
            <sz val="9"/>
            <color indexed="81"/>
            <rFont val="Tahoma"/>
            <family val="2"/>
          </rPr>
          <t xml:space="preserve">
</t>
        </r>
      </text>
    </comment>
    <comment ref="K13" authorId="2" shapeId="0">
      <text>
        <r>
          <rPr>
            <sz val="11"/>
            <color indexed="81"/>
            <rFont val="Cambria"/>
            <family val="1"/>
            <scheme val="major"/>
          </rPr>
          <t xml:space="preserve">Naudat iältään vähintään 24kk </t>
        </r>
        <r>
          <rPr>
            <b/>
            <sz val="9"/>
            <color indexed="81"/>
            <rFont val="Tahoma"/>
            <family val="2"/>
          </rPr>
          <t xml:space="preserve">
</t>
        </r>
        <r>
          <rPr>
            <sz val="9"/>
            <color indexed="81"/>
            <rFont val="Tahoma"/>
            <family val="2"/>
          </rPr>
          <t xml:space="preserve">
</t>
        </r>
      </text>
    </comment>
    <comment ref="M13" authorId="0" shapeId="0">
      <text>
        <r>
          <rPr>
            <sz val="9"/>
            <color indexed="81"/>
            <rFont val="Tahoma"/>
            <family val="2"/>
          </rPr>
          <t xml:space="preserve">Tuen suuruus yhden eläimen osalta koko eläimen pitoaikana ja tuen ehtojen mukaisesti.
</t>
        </r>
      </text>
    </comment>
    <comment ref="N13" authorId="0" shapeId="0">
      <text>
        <r>
          <rPr>
            <sz val="11"/>
            <color indexed="81"/>
            <rFont val="Cambria"/>
            <family val="1"/>
            <scheme val="major"/>
          </rPr>
          <t xml:space="preserve">Tuet koko karjan elinaikana valitulla tukialueella, jos kuolleisuutta ei huomioida
</t>
        </r>
        <r>
          <rPr>
            <sz val="9"/>
            <color indexed="81"/>
            <rFont val="Tahoma"/>
            <family val="2"/>
          </rPr>
          <t xml:space="preserve">
</t>
        </r>
      </text>
    </comment>
    <comment ref="O13" authorId="0" shapeId="0">
      <text>
        <r>
          <rPr>
            <sz val="11"/>
            <color indexed="81"/>
            <rFont val="Cambria"/>
            <family val="1"/>
            <scheme val="major"/>
          </rPr>
          <t xml:space="preserve">Tuet koko karjan osalta koko pitoaikana, kun huomioidaan:
* tukialue
* kuolleisuus
* tuen alla oleva eläinyksikkömäärä (ey)
Kuolleisuus oletetaan tasasuuruiseksi koko pitoajalle. Esim. 6% vuosikuolleisuus johtaa  vuodessa  3% tukien vähenemiseen (100%-&gt;96%, keskimäärin 97%  ;  100% - 97%= 3%). Kuolleisuus lasketaan päivän tarkkuudella.
</t>
        </r>
      </text>
    </comment>
    <comment ref="B14" authorId="1" shapeId="0">
      <text>
        <r>
          <rPr>
            <sz val="11"/>
            <color indexed="81"/>
            <rFont val="Cambria"/>
            <family val="1"/>
            <scheme val="major"/>
          </rPr>
          <t>EU- tuki maksetaan kaikille eläimille eli alueelliset eläinyksikkörajoitteet eivät koske sitä.</t>
        </r>
        <r>
          <rPr>
            <sz val="9"/>
            <color indexed="81"/>
            <rFont val="Tahoma"/>
            <family val="2"/>
          </rPr>
          <t xml:space="preserve">
</t>
        </r>
      </text>
    </comment>
    <comment ref="C14" authorId="1" shapeId="0">
      <text>
        <r>
          <rPr>
            <b/>
            <sz val="11"/>
            <color indexed="81"/>
            <rFont val="Cambria"/>
            <family val="1"/>
            <scheme val="major"/>
          </rPr>
          <t>Nautapalkkio</t>
        </r>
        <r>
          <rPr>
            <sz val="11"/>
            <color indexed="81"/>
            <rFont val="Cambria"/>
            <family val="1"/>
            <scheme val="major"/>
          </rPr>
          <t xml:space="preserve"> on yhtä eläintä kohden vuodessa, jolloin määrä yleensä poikkeaa kasvatuksessa olevasta eläinmäärästä:
 * jos vaikka 1,5 vuoden tukikelpoisuusaikana 400 eläimelle kertyy 1,5 kpl nautapalkkiota kulltakin eläimeltä, tukea saa yhteensä 600 kpl
 * jos tukikelpoista aikaa on 0,5v, niin tukipäiviä 800 tukikelpoiselle eläimelle on 400 kpl
Nautapalkkio lasketaan 365 pv:n mukaan ja siinä ei tässä yhteydessä ole vielä huomioitu kuolleisuutta. Kuolleisuus huomioidaan vasta loppulaskelmassa.
</t>
        </r>
        <r>
          <rPr>
            <sz val="9"/>
            <color indexed="81"/>
            <rFont val="Tahoma"/>
            <family val="2"/>
          </rPr>
          <t xml:space="preserve">
</t>
        </r>
      </text>
    </comment>
    <comment ref="C15" authorId="1" shapeId="0">
      <text>
        <r>
          <rPr>
            <sz val="9"/>
            <color indexed="81"/>
            <rFont val="Tahoma"/>
            <family val="2"/>
          </rPr>
          <t xml:space="preserve">Alueellinen eläinyksikkörajoite koskee  teuraspalkkiota ja kansallista kotieläintukea.
</t>
        </r>
      </text>
    </comment>
    <comment ref="G15" authorId="0" shapeId="0">
      <text>
        <r>
          <rPr>
            <sz val="11"/>
            <color indexed="81"/>
            <rFont val="Cambria"/>
            <family val="1"/>
            <scheme val="major"/>
          </rPr>
          <t xml:space="preserve">Teuraspalkkion saa korkeintaan kansallisen tuen piirissä olevien eläinten määrän mukaisesti. Tuki koskee vain pohjoisia alueita.
Määrässä ei ole huomioitu mahdollista vuosikuolleisuutta. 
</t>
        </r>
      </text>
    </comment>
    <comment ref="D16" authorId="0" shapeId="0">
      <text>
        <r>
          <rPr>
            <sz val="11"/>
            <color indexed="81"/>
            <rFont val="Cambria"/>
            <family val="1"/>
          </rPr>
          <t>Eläinyksikkömäärä voi olla suurempi kuin max. kansallinentuki/v jos tukiaika kestää yli vuoden!
Jos koko karjan ey:t ylittyvät tukirajan jonain vuotena, tulostuu vasemmalle punaisellla se ey-määrä josta ei tule tukea. Tällöin tähän (oikealla olevaan) kenttään tulostuu maksuperusteena oleva ey-määrä</t>
        </r>
        <r>
          <rPr>
            <b/>
            <sz val="11"/>
            <color indexed="81"/>
            <rFont val="Cambria"/>
            <family val="1"/>
          </rPr>
          <t>.</t>
        </r>
      </text>
    </comment>
    <comment ref="G16" authorId="2" shapeId="0">
      <text>
        <r>
          <rPr>
            <sz val="11"/>
            <color indexed="81"/>
            <rFont val="Cambria"/>
            <family val="1"/>
            <scheme val="major"/>
          </rPr>
          <t>Kansallisen tuen määrä on kiinteä vuosisumma, joka riippuu hakemusten määrästä ja voi olla alle 100%. 
Tähän syötetään oma arvio sen suuruudesta (esim. 70%)</t>
        </r>
        <r>
          <rPr>
            <b/>
            <sz val="9"/>
            <color indexed="81"/>
            <rFont val="Tahoma"/>
            <family val="2"/>
          </rPr>
          <t>.</t>
        </r>
        <r>
          <rPr>
            <sz val="9"/>
            <color indexed="81"/>
            <rFont val="Tahoma"/>
            <family val="2"/>
          </rPr>
          <t xml:space="preserve">
</t>
        </r>
      </text>
    </comment>
    <comment ref="O16" authorId="0" shapeId="0">
      <text>
        <r>
          <rPr>
            <b/>
            <sz val="9"/>
            <color indexed="81"/>
            <rFont val="Tahoma"/>
            <family val="2"/>
          </rPr>
          <t>Katso tarkempi tuen erittely, joka on tämän laskelman alapuolella</t>
        </r>
        <r>
          <rPr>
            <sz val="9"/>
            <color indexed="81"/>
            <rFont val="Tahoma"/>
            <family val="2"/>
          </rPr>
          <t xml:space="preserve">
</t>
        </r>
      </text>
    </comment>
    <comment ref="B17" authorId="1" shapeId="0">
      <text>
        <r>
          <rPr>
            <sz val="11"/>
            <color indexed="81"/>
            <rFont val="Cambria"/>
            <family val="1"/>
            <scheme val="major"/>
          </rPr>
          <t xml:space="preserve">Alueellinen eläinyksikkömäärän  rajoite ei koske hyvyinvointitukia
</t>
        </r>
      </text>
    </comment>
    <comment ref="G17" authorId="0" shapeId="0">
      <text>
        <r>
          <rPr>
            <sz val="11"/>
            <color indexed="81"/>
            <rFont val="Cambria"/>
            <family val="1"/>
            <scheme val="major"/>
          </rPr>
          <t>Hyvinvointituen määrä on kiinteä vuosisumma, joka riippuu hakemusten määrästä ja voi olla alle 100%. 
Tähän syötetään oma arvio sen suuruudesta (esim. 80%).</t>
        </r>
        <r>
          <rPr>
            <b/>
            <sz val="9"/>
            <color indexed="81"/>
            <rFont val="Tahoma"/>
            <family val="2"/>
          </rPr>
          <t xml:space="preserve">
</t>
        </r>
      </text>
    </comment>
    <comment ref="N31" authorId="1" shapeId="0">
      <text>
        <r>
          <rPr>
            <b/>
            <sz val="9"/>
            <color indexed="81"/>
            <rFont val="Tahoma"/>
            <family val="2"/>
          </rPr>
          <t>kotikansio:TUKIRAJOITETTA EI OLE HYVINVOINTITUILLE</t>
        </r>
      </text>
    </comment>
    <comment ref="H37" authorId="0" shapeId="0">
      <text>
        <r>
          <rPr>
            <b/>
            <sz val="9"/>
            <color indexed="81"/>
            <rFont val="Tahoma"/>
            <family val="2"/>
          </rPr>
          <t xml:space="preserve">
ajankohta, jolloin karja laskennallisesti 
alueellisen tukirajan suuruinen</t>
        </r>
      </text>
    </comment>
    <comment ref="I37" authorId="0" shapeId="0">
      <text>
        <r>
          <rPr>
            <sz val="9"/>
            <color indexed="81"/>
            <rFont val="Tahoma"/>
            <family val="2"/>
          </rPr>
          <t xml:space="preserve">päivät, jonka verran karja saa laskennalisesti vaata tukea alueellisen karjakokorajoituksen vuoksi
</t>
        </r>
      </text>
    </comment>
    <comment ref="J37" authorId="0" shapeId="0">
      <text>
        <r>
          <rPr>
            <b/>
            <sz val="9"/>
            <color indexed="81"/>
            <rFont val="Tahoma"/>
            <family val="2"/>
          </rPr>
          <t xml:space="preserve">jaksolla kuolleiden eläinten määrä
</t>
        </r>
        <r>
          <rPr>
            <sz val="9"/>
            <color indexed="81"/>
            <rFont val="Tahoma"/>
            <family val="2"/>
          </rPr>
          <t xml:space="preserve">
</t>
        </r>
      </text>
    </comment>
    <comment ref="K37" authorId="0" shapeId="0">
      <text>
        <r>
          <rPr>
            <b/>
            <sz val="9"/>
            <color indexed="81"/>
            <rFont val="Tahoma"/>
            <family val="2"/>
          </rPr>
          <t xml:space="preserve">karjan koko tämän jakson alussa
</t>
        </r>
        <r>
          <rPr>
            <sz val="9"/>
            <color indexed="81"/>
            <rFont val="Tahoma"/>
            <family val="2"/>
          </rPr>
          <t xml:space="preserve">
</t>
        </r>
      </text>
    </comment>
    <comment ref="L37" authorId="0" shapeId="0">
      <text>
        <r>
          <rPr>
            <b/>
            <sz val="9"/>
            <color indexed="81"/>
            <rFont val="Tahoma"/>
            <family val="2"/>
          </rPr>
          <t xml:space="preserve">karjan koko tämän jakson lopussa
</t>
        </r>
        <r>
          <rPr>
            <sz val="9"/>
            <color indexed="81"/>
            <rFont val="Tahoma"/>
            <family val="2"/>
          </rPr>
          <t xml:space="preserve">
</t>
        </r>
      </text>
    </comment>
    <comment ref="M37" authorId="0" shapeId="0">
      <text>
        <r>
          <rPr>
            <b/>
            <sz val="9"/>
            <color indexed="81"/>
            <rFont val="Tahoma"/>
            <family val="2"/>
          </rPr>
          <t xml:space="preserve">karjan keskimääräinen koko jaksolla eläinyksiköissä
</t>
        </r>
        <r>
          <rPr>
            <sz val="9"/>
            <color indexed="81"/>
            <rFont val="Tahoma"/>
            <family val="2"/>
          </rPr>
          <t xml:space="preserve">
</t>
        </r>
      </text>
    </comment>
  </commentList>
</comments>
</file>

<file path=xl/sharedStrings.xml><?xml version="1.0" encoding="utf-8"?>
<sst xmlns="http://schemas.openxmlformats.org/spreadsheetml/2006/main" count="189" uniqueCount="159">
  <si>
    <t>Tukialue</t>
  </si>
  <si>
    <t>Vuosikuolleisuus</t>
  </si>
  <si>
    <t xml:space="preserve">  Ikähaarukka</t>
  </si>
  <si>
    <t>Loppupvm</t>
  </si>
  <si>
    <t>Jakson pvt</t>
  </si>
  <si>
    <t>Tulo pvm</t>
  </si>
  <si>
    <t xml:space="preserve">  alle 6kk </t>
  </si>
  <si>
    <t>Laskelma:</t>
  </si>
  <si>
    <t>Alkuikä</t>
  </si>
  <si>
    <t xml:space="preserve">Eläintuet </t>
  </si>
  <si>
    <t>kuolleisuus</t>
  </si>
  <si>
    <t>Tuki koko karjan osalta  0%:n kuolleisuudella</t>
  </si>
  <si>
    <t>1= valittu</t>
  </si>
  <si>
    <t>TUKILAJI</t>
  </si>
  <si>
    <t>Tukipvt yht.</t>
  </si>
  <si>
    <t>Eu- ja kansalliset tuet yht.</t>
  </si>
  <si>
    <t>Hyvinvoitituet</t>
  </si>
  <si>
    <t>alle 6kk</t>
  </si>
  <si>
    <t>yli 24kk</t>
  </si>
  <si>
    <t>Tukitasot alueittain</t>
  </si>
  <si>
    <t>Tukialuelista</t>
  </si>
  <si>
    <t>AB</t>
  </si>
  <si>
    <t>Abus</t>
  </si>
  <si>
    <t>Abss</t>
  </si>
  <si>
    <t>C1</t>
  </si>
  <si>
    <t>C2</t>
  </si>
  <si>
    <t>C2P</t>
  </si>
  <si>
    <t>C3P1-2</t>
  </si>
  <si>
    <t>C3P3-P4</t>
  </si>
  <si>
    <t>C4P4</t>
  </si>
  <si>
    <t>C4P5</t>
  </si>
  <si>
    <t>Eu-nautapalkkio (6kk-alle 20kk) (€/eläin/tukivuosi)</t>
  </si>
  <si>
    <t>Teuraspalkkio (€/eläin)</t>
  </si>
  <si>
    <t>Kansallinen kotieläintuki (6kk-alle 20kk )€/ey/vuosi</t>
  </si>
  <si>
    <t>HYVINVOINTIKORVAUS</t>
  </si>
  <si>
    <t>1. NAUDAT (6kk -4v): Ruokinta ja hoito €/ey/vuosi</t>
  </si>
  <si>
    <t>2 a. Vasikoiden pito-olosuhteiden parantaminen I € /ey/v</t>
  </si>
  <si>
    <t>2 b. Vasikoiden pito-olosuhteiden parantaminen II €/ey/v</t>
  </si>
  <si>
    <t>5. Lihanautojen sairas- hoito- ja poikimakarsinat €/ey/v</t>
  </si>
  <si>
    <t xml:space="preserve">   Tuki yhtä eläintä kohden päivässä koko kasvatusjaksolla</t>
  </si>
  <si>
    <t xml:space="preserve">  Teuraspalkkio</t>
  </si>
  <si>
    <t>data</t>
  </si>
  <si>
    <t>TUKIERITTELY</t>
  </si>
  <si>
    <t xml:space="preserve">(1) Eu-tuet ja kansalliset tuet yhteensä: </t>
  </si>
  <si>
    <t>Kaikki tuet yhteensä (1)+ (2):</t>
  </si>
  <si>
    <t>max</t>
  </si>
  <si>
    <t>päävalinta</t>
  </si>
  <si>
    <t>erotus</t>
  </si>
  <si>
    <t>valittu</t>
  </si>
  <si>
    <t>Tukikertymä tarkastejaksolla</t>
  </si>
  <si>
    <t>eur</t>
  </si>
  <si>
    <t>grafiikka</t>
  </si>
  <si>
    <t>vertailuarvo</t>
  </si>
  <si>
    <t>eron pitäisi olla nolla</t>
  </si>
  <si>
    <t>Kaikki yhteensä</t>
  </si>
  <si>
    <t>kasvatuspvt</t>
  </si>
  <si>
    <t>päivämäärät</t>
  </si>
  <si>
    <t>karja jakson alku</t>
  </si>
  <si>
    <t xml:space="preserve">   Tuki yhtä eläintä kohden vuositasolla koko kasvatusajalta</t>
  </si>
  <si>
    <t>Yht brutto</t>
  </si>
  <si>
    <t>Kaikki tuet yht./eläin</t>
  </si>
  <si>
    <t>Tuet €/eläin</t>
  </si>
  <si>
    <t>Kasvatusaika</t>
  </si>
  <si>
    <t>Ikähaarukat</t>
  </si>
  <si>
    <t>6kk -12kk</t>
  </si>
  <si>
    <t>12kk- 20kk</t>
  </si>
  <si>
    <t>20kk- 24kk</t>
  </si>
  <si>
    <t>tukialue</t>
  </si>
  <si>
    <t>TUKITAULUKKO</t>
  </si>
  <si>
    <t>eläin kasvatuksessa=1</t>
  </si>
  <si>
    <t>jakson ensimmäinen päivä</t>
  </si>
  <si>
    <t>Lasketaanko jaksoa</t>
  </si>
  <si>
    <t xml:space="preserve">lähtöpv haarukassa </t>
  </si>
  <si>
    <t>lähtöpv suurempi kuin haarukan yläraja</t>
  </si>
  <si>
    <t>jakson viimeinen päivä</t>
  </si>
  <si>
    <t>jakson päivät</t>
  </si>
  <si>
    <t>jakson alku</t>
  </si>
  <si>
    <t>jakson lopppu</t>
  </si>
  <si>
    <t>Ei lasketa päiviä jos:</t>
  </si>
  <si>
    <t>TUKIPÄIVIEN JYVITYS TUKIJAKSOILLE</t>
  </si>
  <si>
    <t>1)tulopvm suurempi kuinjakson loppu</t>
  </si>
  <si>
    <t>2) lähtöpäivä pienempi  kuin jakson alku</t>
  </si>
  <si>
    <t>3)tulo ja lähtöpäivä pienempi kuin jakson alku</t>
  </si>
  <si>
    <t>karja 6kk - alle 24 kk</t>
  </si>
  <si>
    <t>karja 24 kk -&gt;</t>
  </si>
  <si>
    <t>tukikelp ey /v</t>
  </si>
  <si>
    <t>ypmtuki 1</t>
  </si>
  <si>
    <t>ymp 2</t>
  </si>
  <si>
    <t>ymp 5</t>
  </si>
  <si>
    <t>ymp 2b</t>
  </si>
  <si>
    <t>ymp 3a</t>
  </si>
  <si>
    <t>ymp 3b</t>
  </si>
  <si>
    <t>ymp 4a</t>
  </si>
  <si>
    <t>ymp 4b</t>
  </si>
  <si>
    <t>karja 12kk -&gt; alle  24kk</t>
  </si>
  <si>
    <t xml:space="preserve">Karja alle 6kk </t>
  </si>
  <si>
    <t>Karja 6kk- alle 20 kk</t>
  </si>
  <si>
    <t>yht.</t>
  </si>
  <si>
    <t>3 a. Väh. 6kk nautojen pito-olosuhteiden parantaminen €/ey/v</t>
  </si>
  <si>
    <t>3 b. Väh. 12kk sonnien pito-olosuhteiden parantaminen €/ey/v</t>
  </si>
  <si>
    <t>4 a. Väh. 6kk Laidunnus laidunkaudella ja jaloittelu muu aika €/ey/v</t>
  </si>
  <si>
    <t>4 b. Väh. 6kk Pitkäaikaisempi laidunnus laidunkaudella €/ey/v</t>
  </si>
  <si>
    <t>PÄIVÄKUOLLEISUUS</t>
  </si>
  <si>
    <t>eläimet</t>
  </si>
  <si>
    <t xml:space="preserve"> 20kk- alle 24kk </t>
  </si>
  <si>
    <t xml:space="preserve">   6kk-alle 12kk</t>
  </si>
  <si>
    <t xml:space="preserve">   12kk -alle 20 kk </t>
  </si>
  <si>
    <t xml:space="preserve">   yli 24kk</t>
  </si>
  <si>
    <t>Tilan nimi:</t>
  </si>
  <si>
    <t xml:space="preserve"> Syntymäpvm</t>
  </si>
  <si>
    <t xml:space="preserve"> Karjan  lopussa</t>
  </si>
  <si>
    <t>Kasvatuspvt</t>
  </si>
  <si>
    <t>Pikaohje</t>
  </si>
  <si>
    <t xml:space="preserve">   PÄÄVALINTA</t>
  </si>
  <si>
    <t>EU-tuet ja kansalliset tuet  yhtä eläintä kohti ( 0% kuollleisuus)</t>
  </si>
  <si>
    <t xml:space="preserve">  Kansallinen kotieläintuki</t>
  </si>
  <si>
    <t xml:space="preserve">  Hyvinvointikorvaukset</t>
  </si>
  <si>
    <t xml:space="preserve">   EU-nautapalkkio</t>
  </si>
  <si>
    <t>ekpmv</t>
  </si>
  <si>
    <t>vuoden loppu</t>
  </si>
  <si>
    <t>jäljellä</t>
  </si>
  <si>
    <t>tukikelpoiset eyt</t>
  </si>
  <si>
    <t>Aikajakso</t>
  </si>
  <si>
    <t>TUET sis kuoll</t>
  </si>
  <si>
    <t>EY: laskenta ympäristötukia varten</t>
  </si>
  <si>
    <t>max eyt</t>
  </si>
  <si>
    <t>KASVATUSAJAN JAKO</t>
  </si>
  <si>
    <t>TUKIJAKSOILLE</t>
  </si>
  <si>
    <t>TUET ILMAN KUOLLEISUUTTA</t>
  </si>
  <si>
    <t>vuoden lopppu</t>
  </si>
  <si>
    <t>EY</t>
  </si>
  <si>
    <t>JAKSO</t>
  </si>
  <si>
    <t>KARJA</t>
  </si>
  <si>
    <t>ey keski-
määrin</t>
  </si>
  <si>
    <t>karja jakso
n loppu</t>
  </si>
  <si>
    <t>ka ey/kasvpvt</t>
  </si>
  <si>
    <t>Eli tukikelpoinen määrä on 350 ey aina jonkin jakson</t>
  </si>
  <si>
    <t>menetetty tuki</t>
  </si>
  <si>
    <t>max tuki/v</t>
  </si>
  <si>
    <t>kansalliset
eyt yhteensä</t>
  </si>
  <si>
    <t>TUKIpäivien JYVITYS ERI VUOSILLE</t>
  </si>
  <si>
    <t>ILMAN KUOLLEISUUTTA</t>
  </si>
  <si>
    <t>Teuraspvm:</t>
  </si>
  <si>
    <t xml:space="preserve"> Tukiryhmä</t>
  </si>
  <si>
    <t xml:space="preserve"> EU-tuki</t>
  </si>
  <si>
    <t xml:space="preserve"> Kansalliset tuet</t>
  </si>
  <si>
    <t>Teurasikä</t>
  </si>
  <si>
    <t xml:space="preserve"> Hyvinvointikorvaukset</t>
  </si>
  <si>
    <t>Karjan koko</t>
  </si>
  <si>
    <t>EU-TUKI JA KOTOISET TUET</t>
  </si>
  <si>
    <t>(2) Hyvinvoinkorvaukset yhteensä:</t>
  </si>
  <si>
    <t>Mallitila</t>
  </si>
  <si>
    <t>Laskelman nimitys</t>
  </si>
  <si>
    <t>KUOLLEISUUDEN KANSSA</t>
  </si>
  <si>
    <t>vuosikuolleisuus max 99,99999%</t>
  </si>
  <si>
    <t>eMulli2 Tukilaskuri</t>
  </si>
  <si>
    <t xml:space="preserve"> Versio 1.0   13.3.2019</t>
  </si>
  <si>
    <t xml:space="preserve"> (c) Luke, Savonia Amk, Jyri Tuovinen 2019</t>
  </si>
  <si>
    <t>Kansallisen kotieläintuen max ey:t/vuosi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</si>
</sst>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2" formatCode="_-* #,##0\ &quot;€&quot;_-;\-* #,##0\ &quot;€&quot;_-;_-* &quot;-&quot;\ &quot;€&quot;_-;_-@_-"/>
    <numFmt numFmtId="44" formatCode="_-* #,##0.00\ &quot;€&quot;_-;\-* #,##0.00\ &quot;€&quot;_-;_-* &quot;-&quot;??\ &quot;€&quot;_-;_-@_-"/>
    <numFmt numFmtId="164" formatCode="#,##0\ &quot;€&quot;"/>
    <numFmt numFmtId="165" formatCode="#,##0.00\ &quot;€&quot;"/>
    <numFmt numFmtId="166" formatCode="#"/>
    <numFmt numFmtId="167" formatCode="0&quot; pv&quot;"/>
    <numFmt numFmtId="168" formatCode="&quot;Tuki yhteensä karjan &quot;0\ %&quot; :n vuosikuolleisuudella&quot;"/>
    <numFmt numFmtId="169" formatCode="0.0&quot; ey pv&quot;"/>
    <numFmt numFmtId="170" formatCode="0&quot; kpl&quot;"/>
    <numFmt numFmtId="171" formatCode="\ #,##0&quot; ey&quot;"/>
    <numFmt numFmtId="172" formatCode="#0.00\ &quot;€&quot;"/>
    <numFmt numFmtId="173" formatCode="_-* #,##0\ &quot;€&quot;_-;\-* #,##0\ &quot;€&quot;_-;_-* &quot;-&quot;??\ &quot;€&quot;_-;_-@_-"/>
    <numFmt numFmtId="174" formatCode="d\.m\.yyyy;@"/>
    <numFmt numFmtId="175" formatCode="#,##0&quot; Ey&quot;"/>
    <numFmt numFmtId="176" formatCode="0.0\ %"/>
    <numFmt numFmtId="177" formatCode="#,##0&quot; eläintä&quot;"/>
    <numFmt numFmtId="178" formatCode="#,##0&quot; pv&quot;"/>
    <numFmt numFmtId="179" formatCode="0.0000\ %"/>
    <numFmt numFmtId="180" formatCode="#,##0&quot; kpl&quot;"/>
    <numFmt numFmtId="181" formatCode="#,###\ &quot;€&quot;"/>
    <numFmt numFmtId="182" formatCode="#,##0.0\ &quot;€&quot;"/>
    <numFmt numFmtId="183" formatCode="_(&quot;€&quot;* #,##0.00_);_(&quot;€&quot;* \(#,##0.00\);_(&quot;€&quot;* &quot;-&quot;??_);_(@_)"/>
    <numFmt numFmtId="184" formatCode="#,##0.0&quot; eläintä&quot;"/>
    <numFmt numFmtId="185" formatCode="\ #,##0.00&quot; ey&quot;"/>
    <numFmt numFmtId="186" formatCode="0.000\ %&quot;/pv&quot;"/>
    <numFmt numFmtId="187" formatCode="###0&quot; kpl&quot;"/>
    <numFmt numFmtId="188" formatCode="\ 0&quot; kpl&quot;"/>
    <numFmt numFmtId="189" formatCode="&quot;Yht: &quot;#,##0&quot; pv&quot;"/>
    <numFmt numFmtId="190" formatCode="0.00;;;"/>
    <numFmt numFmtId="191" formatCode="&quot;Max kans.tuki &quot;\ #,##0&quot; ey/v&quot;"/>
    <numFmt numFmtId="192" formatCode="#,##0.0&quot; kpl&quot;"/>
    <numFmt numFmtId="193" formatCode="#,##0.0000000000000"/>
    <numFmt numFmtId="194" formatCode="\ #,##0.0&quot; ey&quot;"/>
    <numFmt numFmtId="195" formatCode="&quot;Yht. &quot;0&quot; pv&quot;"/>
    <numFmt numFmtId="196" formatCode="#,##0&quot; pv-&gt;20kk&quot;"/>
    <numFmt numFmtId="197" formatCode="#;;"/>
    <numFmt numFmtId="198" formatCode="#,##0.0&quot; ey&quot;"/>
    <numFmt numFmtId="199" formatCode="#,##0&quot; €/ey&quot;"/>
    <numFmt numFmtId="200" formatCode="0.00&quot; €/pv/eläin koko kasvatusajalla&quot;"/>
    <numFmt numFmtId="201" formatCode="#.0;;"/>
    <numFmt numFmtId="202" formatCode="#,##0.0&quot; ey&quot;;;"/>
    <numFmt numFmtId="203" formatCode="0.000"/>
    <numFmt numFmtId="204" formatCode="0.0"/>
    <numFmt numFmtId="205" formatCode="&quot;Yht. &quot;###&quot; ey &quot;;;"/>
    <numFmt numFmtId="206" formatCode="&quot;- &quot;#0&quot; ey =&gt;&quot;;;"/>
    <numFmt numFmtId="207" formatCode="&quot;Max.&quot;#,##0&quot; ey/v&quot;;;"/>
    <numFmt numFmtId="208" formatCode="0;;"/>
    <numFmt numFmtId="209" formatCode="&quot;Nyt:&quot;\ #,##0&quot; ey&quot;"/>
  </numFmts>
  <fonts count="74" x14ac:knownFonts="1">
    <font>
      <sz val="11"/>
      <color theme="1"/>
      <name val="Calibri"/>
      <family val="2"/>
      <scheme val="minor"/>
    </font>
    <font>
      <sz val="11"/>
      <color theme="1"/>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1"/>
      <name val="Calibri"/>
      <family val="2"/>
      <charset val="238"/>
      <scheme val="minor"/>
    </font>
    <font>
      <sz val="10"/>
      <color theme="1" tint="0.249977111117893"/>
      <name val="Calibri"/>
      <family val="2"/>
      <scheme val="minor"/>
    </font>
    <font>
      <b/>
      <sz val="14"/>
      <color theme="1"/>
      <name val="Calibri"/>
      <family val="2"/>
      <scheme val="minor"/>
    </font>
    <font>
      <sz val="11"/>
      <color theme="1"/>
      <name val="Arial Narrow"/>
      <family val="2"/>
    </font>
    <font>
      <b/>
      <i/>
      <sz val="11"/>
      <color theme="1"/>
      <name val="Calibri"/>
      <family val="2"/>
      <scheme val="minor"/>
    </font>
    <font>
      <i/>
      <sz val="11"/>
      <color theme="1"/>
      <name val="Calibri"/>
      <family val="2"/>
      <scheme val="minor"/>
    </font>
    <font>
      <b/>
      <sz val="11"/>
      <color rgb="FFC00000"/>
      <name val="Calibri"/>
      <family val="2"/>
      <scheme val="minor"/>
    </font>
    <font>
      <b/>
      <sz val="12"/>
      <color theme="1"/>
      <name val="Arial Narrow"/>
      <family val="2"/>
    </font>
    <font>
      <sz val="12"/>
      <color theme="1"/>
      <name val="Arial Narrow"/>
      <family val="2"/>
    </font>
    <font>
      <b/>
      <sz val="11"/>
      <color theme="1"/>
      <name val="Arial Narrow"/>
      <family val="2"/>
    </font>
    <font>
      <b/>
      <sz val="11"/>
      <color rgb="FFC00000"/>
      <name val="Arial Narrow"/>
      <family val="2"/>
    </font>
    <font>
      <b/>
      <sz val="9"/>
      <color indexed="81"/>
      <name val="Tahoma"/>
      <family val="2"/>
    </font>
    <font>
      <sz val="9"/>
      <color indexed="81"/>
      <name val="Tahoma"/>
      <family val="2"/>
    </font>
    <font>
      <b/>
      <sz val="14"/>
      <color theme="1"/>
      <name val="Cambria"/>
      <family val="1"/>
      <scheme val="major"/>
    </font>
    <font>
      <b/>
      <sz val="8"/>
      <color theme="1"/>
      <name val="Cambria"/>
      <family val="1"/>
      <scheme val="major"/>
    </font>
    <font>
      <b/>
      <sz val="11"/>
      <color theme="6" tint="0.79998168889431442"/>
      <name val="Calibri"/>
      <family val="2"/>
      <scheme val="minor"/>
    </font>
    <font>
      <b/>
      <sz val="12"/>
      <color theme="0"/>
      <name val="Arial Narrow"/>
      <family val="2"/>
    </font>
    <font>
      <sz val="11"/>
      <color indexed="8"/>
      <name val="Calibri"/>
      <family val="2"/>
    </font>
    <font>
      <sz val="10"/>
      <name val="Arial"/>
      <family val="2"/>
    </font>
    <font>
      <sz val="10"/>
      <color theme="1"/>
      <name val="Arial Narrow"/>
      <family val="2"/>
    </font>
    <font>
      <sz val="11"/>
      <color theme="0" tint="-0.14999847407452621"/>
      <name val="Calibri"/>
      <family val="2"/>
      <scheme val="minor"/>
    </font>
    <font>
      <b/>
      <sz val="10"/>
      <color theme="1"/>
      <name val="Calibri"/>
      <family val="2"/>
      <scheme val="minor"/>
    </font>
    <font>
      <sz val="11"/>
      <color theme="3" tint="0.39997558519241921"/>
      <name val="Calibri"/>
      <family val="2"/>
      <scheme val="minor"/>
    </font>
    <font>
      <b/>
      <sz val="18"/>
      <color theme="1"/>
      <name val="Cambria"/>
      <family val="1"/>
      <scheme val="major"/>
    </font>
    <font>
      <sz val="11"/>
      <color theme="9" tint="0.79998168889431442"/>
      <name val="Calibri"/>
      <family val="2"/>
      <scheme val="minor"/>
    </font>
    <font>
      <sz val="11"/>
      <color rgb="FFFF0000"/>
      <name val="Calibri"/>
      <family val="2"/>
      <scheme val="minor"/>
    </font>
    <font>
      <sz val="11"/>
      <color theme="1" tint="0.34998626667073579"/>
      <name val="Calibri"/>
      <family val="2"/>
      <scheme val="minor"/>
    </font>
    <font>
      <b/>
      <sz val="18"/>
      <color theme="6" tint="-0.499984740745262"/>
      <name val="Cambria"/>
      <family val="1"/>
      <scheme val="major"/>
    </font>
    <font>
      <b/>
      <sz val="12"/>
      <color theme="1"/>
      <name val="Calibri"/>
      <family val="2"/>
      <scheme val="minor"/>
    </font>
    <font>
      <sz val="11"/>
      <color theme="0"/>
      <name val="Arial Narrow"/>
      <family val="2"/>
    </font>
    <font>
      <sz val="11"/>
      <color theme="1" tint="0.499984740745262"/>
      <name val="Calibri"/>
      <family val="2"/>
      <scheme val="minor"/>
    </font>
    <font>
      <sz val="11"/>
      <color theme="4"/>
      <name val="Calibri"/>
      <family val="2"/>
      <scheme val="minor"/>
    </font>
    <font>
      <sz val="11"/>
      <color theme="6" tint="-0.499984740745262"/>
      <name val="Calibri"/>
      <family val="2"/>
      <scheme val="minor"/>
    </font>
    <font>
      <b/>
      <sz val="11"/>
      <color theme="1" tint="0.34998626667073579"/>
      <name val="Calibri"/>
      <family val="2"/>
      <scheme val="minor"/>
    </font>
    <font>
      <b/>
      <sz val="10"/>
      <color theme="1" tint="0.34998626667073579"/>
      <name val="Arial Narrow"/>
      <family val="2"/>
    </font>
    <font>
      <b/>
      <sz val="11"/>
      <color theme="3" tint="0.39997558519241921"/>
      <name val="Calibri"/>
      <family val="2"/>
      <scheme val="minor"/>
    </font>
    <font>
      <sz val="11"/>
      <color theme="1"/>
      <name val="Arial"/>
      <family val="2"/>
    </font>
    <font>
      <b/>
      <sz val="11"/>
      <color theme="5" tint="-0.249977111117893"/>
      <name val="Arial Narrow"/>
      <family val="2"/>
    </font>
    <font>
      <b/>
      <sz val="11"/>
      <color theme="1" tint="0.34998626667073579"/>
      <name val="Arial Narrow"/>
      <family val="2"/>
    </font>
    <font>
      <b/>
      <sz val="11"/>
      <color theme="6" tint="-0.249977111117893"/>
      <name val="Calibri"/>
      <family val="2"/>
      <scheme val="minor"/>
    </font>
    <font>
      <b/>
      <sz val="11"/>
      <color theme="6" tint="-0.499984740745262"/>
      <name val="Calibri"/>
      <family val="2"/>
      <scheme val="minor"/>
    </font>
    <font>
      <b/>
      <sz val="14"/>
      <color theme="6" tint="-0.499984740745262"/>
      <name val="Cambria"/>
      <family val="1"/>
      <scheme val="major"/>
    </font>
    <font>
      <b/>
      <sz val="12"/>
      <color theme="6" tint="-0.499984740745262"/>
      <name val="Calibri"/>
      <family val="2"/>
      <charset val="238"/>
      <scheme val="minor"/>
    </font>
    <font>
      <b/>
      <sz val="10"/>
      <color theme="1"/>
      <name val="Arial Narrow"/>
      <family val="2"/>
    </font>
    <font>
      <b/>
      <sz val="12"/>
      <color theme="9" tint="-0.499984740745262"/>
      <name val="Calibri"/>
      <family val="2"/>
      <scheme val="minor"/>
    </font>
    <font>
      <b/>
      <sz val="12"/>
      <name val="Calibri"/>
      <family val="2"/>
      <scheme val="minor"/>
    </font>
    <font>
      <b/>
      <u/>
      <sz val="12"/>
      <name val="Calibri"/>
      <family val="2"/>
      <scheme val="minor"/>
    </font>
    <font>
      <sz val="14"/>
      <color theme="1"/>
      <name val="Calibri"/>
      <family val="2"/>
      <scheme val="minor"/>
    </font>
    <font>
      <sz val="9"/>
      <color theme="1"/>
      <name val="Calibri"/>
      <family val="2"/>
      <scheme val="minor"/>
    </font>
    <font>
      <sz val="11"/>
      <color theme="9" tint="-0.499984740745262"/>
      <name val="Calibri"/>
      <family val="2"/>
      <scheme val="minor"/>
    </font>
    <font>
      <b/>
      <sz val="10"/>
      <color rgb="FFFF0000"/>
      <name val="Arial Narrow"/>
      <family val="2"/>
    </font>
    <font>
      <i/>
      <sz val="11"/>
      <color theme="1"/>
      <name val="Arial"/>
      <family val="2"/>
    </font>
    <font>
      <b/>
      <sz val="9"/>
      <color rgb="FF2A3517"/>
      <name val="Cambria"/>
      <family val="1"/>
      <scheme val="major"/>
    </font>
    <font>
      <b/>
      <sz val="10"/>
      <color theme="3" tint="-0.499984740745262"/>
      <name val="Arial Narrow"/>
      <family val="2"/>
    </font>
    <font>
      <sz val="10"/>
      <color theme="6" tint="-0.499984740745262"/>
      <name val="Calibri"/>
      <family val="2"/>
      <scheme val="minor"/>
    </font>
    <font>
      <sz val="8"/>
      <color theme="1"/>
      <name val="Calibri"/>
      <family val="2"/>
      <scheme val="minor"/>
    </font>
    <font>
      <sz val="11"/>
      <color indexed="81"/>
      <name val="Tahoma"/>
      <family val="2"/>
    </font>
    <font>
      <sz val="11"/>
      <color indexed="81"/>
      <name val="Cambria"/>
      <family val="1"/>
    </font>
    <font>
      <b/>
      <sz val="11"/>
      <color indexed="81"/>
      <name val="Cambria"/>
      <family val="1"/>
    </font>
    <font>
      <b/>
      <sz val="11"/>
      <color indexed="81"/>
      <name val="Cambria"/>
      <family val="1"/>
      <scheme val="major"/>
    </font>
    <font>
      <sz val="11"/>
      <color indexed="81"/>
      <name val="Cambria"/>
      <family val="1"/>
      <scheme val="major"/>
    </font>
    <font>
      <b/>
      <u/>
      <sz val="11"/>
      <color indexed="81"/>
      <name val="Cambria"/>
      <family val="1"/>
      <scheme val="major"/>
    </font>
    <font>
      <u/>
      <sz val="11"/>
      <color indexed="81"/>
      <name val="Cambria"/>
      <family val="1"/>
      <scheme val="major"/>
    </font>
    <font>
      <b/>
      <sz val="11"/>
      <name val="Calibri"/>
      <family val="2"/>
      <scheme val="minor"/>
    </font>
    <font>
      <sz val="10"/>
      <color theme="1"/>
      <name val="Calibri"/>
      <family val="2"/>
      <scheme val="minor"/>
    </font>
    <font>
      <sz val="11"/>
      <name val="Calibri"/>
      <family val="2"/>
      <scheme val="minor"/>
    </font>
    <font>
      <b/>
      <sz val="24"/>
      <color theme="4" tint="-0.249977111117893"/>
      <name val="Cambria"/>
      <family val="1"/>
      <scheme val="major"/>
    </font>
    <font>
      <b/>
      <sz val="16"/>
      <color theme="4" tint="-0.249977111117893"/>
      <name val="Cambria"/>
      <family val="1"/>
      <scheme val="major"/>
    </font>
  </fonts>
  <fills count="27">
    <fill>
      <patternFill patternType="none"/>
    </fill>
    <fill>
      <patternFill patternType="gray125"/>
    </fill>
    <fill>
      <patternFill patternType="solid">
        <fgColor rgb="FFFFCC99"/>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EAEAEA"/>
        <bgColor indexed="64"/>
      </patternFill>
    </fill>
    <fill>
      <patternFill patternType="solid">
        <fgColor rgb="FFDDE8C2"/>
        <bgColor indexed="64"/>
      </patternFill>
    </fill>
    <fill>
      <patternFill patternType="solid">
        <fgColor rgb="FFCADBA5"/>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2" tint="-0.249977111117893"/>
        <bgColor indexed="64"/>
      </patternFill>
    </fill>
  </fills>
  <borders count="99">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hair">
        <color indexed="64"/>
      </top>
      <bottom style="double">
        <color indexed="64"/>
      </bottom>
      <diagonal/>
    </border>
    <border>
      <left/>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diagonal/>
    </border>
    <border>
      <left style="medium">
        <color rgb="FF3F6CAF"/>
      </left>
      <right/>
      <top style="medium">
        <color rgb="FF3F6CAF"/>
      </top>
      <bottom style="medium">
        <color rgb="FF3F6CAF"/>
      </bottom>
      <diagonal/>
    </border>
    <border>
      <left/>
      <right style="medium">
        <color rgb="FF3F6CAF"/>
      </right>
      <top style="medium">
        <color rgb="FF3F6CAF"/>
      </top>
      <bottom style="medium">
        <color rgb="FF3F6CAF"/>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83" fontId="1" fillId="0" borderId="0" applyFont="0" applyFill="0" applyBorder="0" applyAlignment="0" applyProtection="0"/>
    <xf numFmtId="183" fontId="6" fillId="0" borderId="0" applyFont="0" applyFill="0" applyBorder="0" applyAlignment="0" applyProtection="0"/>
    <xf numFmtId="0" fontId="23" fillId="0" borderId="0"/>
    <xf numFmtId="0" fontId="24" fillId="0" borderId="0"/>
    <xf numFmtId="9" fontId="6" fillId="0" borderId="0" applyFont="0" applyFill="0" applyBorder="0" applyAlignment="0" applyProtection="0"/>
    <xf numFmtId="0" fontId="25" fillId="10" borderId="4" applyFont="0" applyFill="0" applyBorder="0" applyAlignment="0"/>
    <xf numFmtId="0" fontId="2" fillId="2" borderId="1" applyAlignment="0"/>
  </cellStyleXfs>
  <cellXfs count="551">
    <xf numFmtId="0" fontId="0" fillId="0" borderId="0" xfId="0"/>
    <xf numFmtId="0" fontId="0" fillId="3" borderId="0" xfId="0" applyFill="1"/>
    <xf numFmtId="0" fontId="0" fillId="0" borderId="0" xfId="0" applyFill="1"/>
    <xf numFmtId="165" fontId="11" fillId="3" borderId="10" xfId="0" applyNumberFormat="1" applyFont="1" applyFill="1" applyBorder="1" applyProtection="1"/>
    <xf numFmtId="0" fontId="0" fillId="7" borderId="13" xfId="0" applyNumberFormat="1" applyFill="1" applyBorder="1" applyAlignment="1" applyProtection="1">
      <alignment horizontal="center"/>
      <protection locked="0"/>
    </xf>
    <xf numFmtId="0" fontId="0" fillId="7" borderId="12" xfId="0" applyNumberFormat="1" applyFill="1" applyBorder="1" applyAlignment="1" applyProtection="1">
      <alignment horizontal="center"/>
      <protection locked="0"/>
    </xf>
    <xf numFmtId="0" fontId="0" fillId="7" borderId="24" xfId="0" applyNumberFormat="1" applyFill="1" applyBorder="1" applyAlignment="1" applyProtection="1">
      <alignment horizontal="center"/>
      <protection locked="0"/>
    </xf>
    <xf numFmtId="164" fontId="0" fillId="3" borderId="0" xfId="0" applyNumberFormat="1" applyFill="1"/>
    <xf numFmtId="0" fontId="0" fillId="7" borderId="30" xfId="0" applyNumberFormat="1" applyFill="1" applyBorder="1" applyAlignment="1" applyProtection="1">
      <alignment horizontal="center"/>
      <protection locked="0"/>
    </xf>
    <xf numFmtId="0" fontId="0" fillId="7" borderId="37" xfId="0" applyNumberFormat="1" applyFill="1" applyBorder="1" applyAlignment="1" applyProtection="1">
      <alignment horizontal="center"/>
      <protection locked="0"/>
    </xf>
    <xf numFmtId="0" fontId="0" fillId="7" borderId="42" xfId="0" applyNumberFormat="1" applyFill="1" applyBorder="1" applyAlignment="1" applyProtection="1">
      <alignment horizontal="center"/>
      <protection locked="0"/>
    </xf>
    <xf numFmtId="0" fontId="0" fillId="7" borderId="32" xfId="0" applyNumberFormat="1" applyFill="1" applyBorder="1" applyAlignment="1" applyProtection="1">
      <alignment horizontal="center"/>
      <protection locked="0"/>
    </xf>
    <xf numFmtId="0" fontId="0" fillId="7" borderId="48" xfId="0" applyNumberFormat="1" applyFill="1" applyBorder="1" applyAlignment="1" applyProtection="1">
      <alignment horizontal="center"/>
      <protection locked="0"/>
    </xf>
    <xf numFmtId="0" fontId="19" fillId="3" borderId="0" xfId="0" applyFont="1" applyFill="1"/>
    <xf numFmtId="0" fontId="0" fillId="3" borderId="0" xfId="0" applyFill="1" applyProtection="1">
      <protection locked="0" hidden="1"/>
    </xf>
    <xf numFmtId="0" fontId="20" fillId="3" borderId="0" xfId="0" applyFont="1" applyFill="1" applyAlignment="1">
      <alignment vertical="top"/>
    </xf>
    <xf numFmtId="9" fontId="1" fillId="0" borderId="0" xfId="2" applyFont="1" applyFill="1"/>
    <xf numFmtId="179" fontId="0" fillId="0" borderId="0" xfId="0" applyNumberFormat="1" applyFill="1"/>
    <xf numFmtId="164" fontId="10" fillId="3" borderId="10" xfId="0" applyNumberFormat="1" applyFont="1" applyFill="1" applyBorder="1" applyProtection="1"/>
    <xf numFmtId="165" fontId="11" fillId="3" borderId="0" xfId="0" applyNumberFormat="1" applyFont="1" applyFill="1" applyBorder="1" applyProtection="1"/>
    <xf numFmtId="10" fontId="1" fillId="0" borderId="0" xfId="2" applyNumberFormat="1" applyFont="1" applyFill="1"/>
    <xf numFmtId="0" fontId="0" fillId="5" borderId="54" xfId="0" applyFill="1" applyBorder="1" applyProtection="1">
      <protection locked="0"/>
    </xf>
    <xf numFmtId="0" fontId="0" fillId="5" borderId="62" xfId="0" applyFill="1" applyBorder="1" applyProtection="1">
      <protection locked="0"/>
    </xf>
    <xf numFmtId="0" fontId="0" fillId="5" borderId="53" xfId="0" applyFill="1" applyBorder="1" applyProtection="1">
      <protection locked="0"/>
    </xf>
    <xf numFmtId="0" fontId="0" fillId="5" borderId="63" xfId="0" applyFill="1" applyBorder="1" applyProtection="1">
      <protection locked="0"/>
    </xf>
    <xf numFmtId="0" fontId="0" fillId="5" borderId="24" xfId="0" applyFill="1" applyBorder="1" applyProtection="1">
      <protection locked="0"/>
    </xf>
    <xf numFmtId="0" fontId="0" fillId="5" borderId="59" xfId="0" applyFill="1" applyBorder="1" applyProtection="1">
      <protection locked="0"/>
    </xf>
    <xf numFmtId="0" fontId="0" fillId="5" borderId="21" xfId="0" applyFill="1" applyBorder="1" applyProtection="1">
      <protection locked="0"/>
    </xf>
    <xf numFmtId="0" fontId="0" fillId="5" borderId="64" xfId="0" applyFill="1" applyBorder="1" applyProtection="1">
      <protection locked="0"/>
    </xf>
    <xf numFmtId="0" fontId="0" fillId="5" borderId="65" xfId="0" applyFill="1" applyBorder="1" applyProtection="1">
      <protection locked="0"/>
    </xf>
    <xf numFmtId="0" fontId="0" fillId="5" borderId="66" xfId="0" applyFill="1" applyBorder="1" applyProtection="1">
      <protection locked="0"/>
    </xf>
    <xf numFmtId="0" fontId="0" fillId="5" borderId="67" xfId="0" applyFill="1" applyBorder="1" applyProtection="1">
      <protection locked="0"/>
    </xf>
    <xf numFmtId="0" fontId="0" fillId="5" borderId="68" xfId="0" applyFill="1" applyBorder="1" applyProtection="1">
      <protection locked="0"/>
    </xf>
    <xf numFmtId="0" fontId="0" fillId="5" borderId="34" xfId="0" applyFill="1" applyBorder="1" applyProtection="1">
      <protection locked="0"/>
    </xf>
    <xf numFmtId="0" fontId="0" fillId="5" borderId="69" xfId="0" applyFill="1" applyBorder="1" applyProtection="1">
      <protection locked="0"/>
    </xf>
    <xf numFmtId="0" fontId="0" fillId="5" borderId="5" xfId="0" applyFill="1" applyBorder="1" applyProtection="1">
      <protection locked="0"/>
    </xf>
    <xf numFmtId="0" fontId="0" fillId="5" borderId="57" xfId="0" applyFill="1" applyBorder="1" applyProtection="1">
      <protection locked="0"/>
    </xf>
    <xf numFmtId="0" fontId="0" fillId="5" borderId="40" xfId="0" applyFill="1" applyBorder="1" applyProtection="1">
      <protection locked="0"/>
    </xf>
    <xf numFmtId="0" fontId="0" fillId="5" borderId="58" xfId="0" applyFill="1" applyBorder="1" applyProtection="1">
      <protection locked="0"/>
    </xf>
    <xf numFmtId="0" fontId="0" fillId="5" borderId="70" xfId="0" applyFill="1" applyBorder="1" applyProtection="1">
      <protection locked="0"/>
    </xf>
    <xf numFmtId="0" fontId="0" fillId="5" borderId="71" xfId="0" applyFill="1" applyBorder="1" applyProtection="1">
      <protection locked="0"/>
    </xf>
    <xf numFmtId="0" fontId="0" fillId="5" borderId="4" xfId="0" applyFill="1" applyBorder="1" applyProtection="1">
      <protection locked="0"/>
    </xf>
    <xf numFmtId="0" fontId="0" fillId="5" borderId="72" xfId="0" applyFill="1" applyBorder="1" applyProtection="1">
      <protection locked="0"/>
    </xf>
    <xf numFmtId="0" fontId="0" fillId="5" borderId="73" xfId="0" applyFill="1" applyBorder="1" applyProtection="1">
      <protection locked="0"/>
    </xf>
    <xf numFmtId="0" fontId="0" fillId="5" borderId="74" xfId="0" applyFill="1" applyBorder="1" applyProtection="1">
      <protection locked="0"/>
    </xf>
    <xf numFmtId="0" fontId="0" fillId="5" borderId="75" xfId="0" applyFill="1" applyBorder="1" applyProtection="1">
      <protection locked="0"/>
    </xf>
    <xf numFmtId="0" fontId="0" fillId="5" borderId="76" xfId="0" applyFill="1" applyBorder="1" applyProtection="1">
      <protection locked="0"/>
    </xf>
    <xf numFmtId="0" fontId="0" fillId="5" borderId="25" xfId="0" applyFill="1" applyBorder="1" applyProtection="1">
      <protection locked="0"/>
    </xf>
    <xf numFmtId="0" fontId="4" fillId="5" borderId="12" xfId="0" applyFont="1" applyFill="1" applyBorder="1" applyProtection="1">
      <protection locked="0"/>
    </xf>
    <xf numFmtId="0" fontId="0" fillId="5" borderId="60" xfId="0" applyFill="1" applyBorder="1" applyProtection="1">
      <protection locked="0"/>
    </xf>
    <xf numFmtId="0" fontId="0" fillId="5" borderId="17" xfId="0" applyFill="1" applyBorder="1" applyProtection="1">
      <protection locked="0"/>
    </xf>
    <xf numFmtId="0" fontId="4" fillId="5" borderId="17" xfId="0" applyFont="1" applyFill="1" applyBorder="1" applyProtection="1">
      <protection locked="0"/>
    </xf>
    <xf numFmtId="0" fontId="4" fillId="5" borderId="61" xfId="0" applyFont="1" applyFill="1" applyBorder="1" applyProtection="1">
      <protection locked="0"/>
    </xf>
    <xf numFmtId="0" fontId="0" fillId="7" borderId="0" xfId="0" applyFill="1" applyProtection="1"/>
    <xf numFmtId="0" fontId="19" fillId="7" borderId="0" xfId="0" applyFont="1" applyFill="1" applyProtection="1"/>
    <xf numFmtId="0" fontId="0" fillId="7" borderId="0" xfId="0" applyFill="1" applyProtection="1">
      <protection hidden="1"/>
    </xf>
    <xf numFmtId="0" fontId="11" fillId="7" borderId="0" xfId="0" applyFont="1" applyFill="1" applyBorder="1" applyProtection="1"/>
    <xf numFmtId="0" fontId="8" fillId="7" borderId="0" xfId="0" applyFont="1" applyFill="1" applyProtection="1"/>
    <xf numFmtId="14" fontId="21" fillId="7" borderId="0" xfId="0" applyNumberFormat="1" applyFont="1" applyFill="1" applyProtection="1"/>
    <xf numFmtId="9" fontId="1" fillId="7" borderId="0" xfId="2" applyFont="1" applyFill="1" applyProtection="1"/>
    <xf numFmtId="179" fontId="0" fillId="7" borderId="0" xfId="0" applyNumberFormat="1" applyFill="1" applyProtection="1"/>
    <xf numFmtId="10" fontId="1" fillId="7" borderId="0" xfId="2" applyNumberFormat="1" applyFont="1" applyFill="1" applyProtection="1"/>
    <xf numFmtId="164" fontId="8" fillId="7" borderId="0" xfId="0" applyNumberFormat="1" applyFont="1" applyFill="1" applyProtection="1"/>
    <xf numFmtId="164" fontId="4" fillId="7" borderId="0" xfId="0" applyNumberFormat="1" applyFont="1" applyFill="1" applyProtection="1"/>
    <xf numFmtId="0" fontId="4" fillId="7" borderId="0" xfId="0" applyFont="1" applyFill="1" applyAlignment="1" applyProtection="1">
      <alignment horizontal="right"/>
    </xf>
    <xf numFmtId="0" fontId="4" fillId="7" borderId="0" xfId="0" applyFont="1" applyFill="1" applyProtection="1"/>
    <xf numFmtId="14" fontId="0" fillId="7" borderId="0" xfId="0" applyNumberFormat="1" applyFill="1" applyProtection="1"/>
    <xf numFmtId="0" fontId="0" fillId="7" borderId="0" xfId="0" applyFill="1" applyBorder="1" applyProtection="1"/>
    <xf numFmtId="0" fontId="14" fillId="7" borderId="0" xfId="0" applyFont="1" applyFill="1" applyBorder="1" applyAlignment="1" applyProtection="1">
      <alignment horizontal="center" vertical="center"/>
    </xf>
    <xf numFmtId="0" fontId="0" fillId="7" borderId="0" xfId="0" applyFill="1" applyBorder="1" applyAlignment="1" applyProtection="1">
      <alignment horizontal="right"/>
    </xf>
    <xf numFmtId="0" fontId="0" fillId="7" borderId="68" xfId="0" applyFill="1" applyBorder="1" applyProtection="1"/>
    <xf numFmtId="0" fontId="0" fillId="7" borderId="34" xfId="0" applyFill="1" applyBorder="1" applyProtection="1"/>
    <xf numFmtId="0" fontId="13" fillId="7" borderId="0" xfId="0" applyFont="1" applyFill="1" applyBorder="1" applyAlignment="1" applyProtection="1">
      <alignment horizontal="center" vertical="center"/>
    </xf>
    <xf numFmtId="0" fontId="0" fillId="7" borderId="55" xfId="0" applyFill="1" applyBorder="1" applyProtection="1"/>
    <xf numFmtId="0" fontId="15" fillId="7" borderId="8" xfId="0" applyFont="1" applyFill="1" applyBorder="1" applyAlignment="1" applyProtection="1">
      <alignment vertical="center"/>
    </xf>
    <xf numFmtId="0" fontId="4" fillId="7" borderId="8" xfId="0" applyFont="1" applyFill="1" applyBorder="1" applyProtection="1"/>
    <xf numFmtId="169" fontId="13" fillId="7" borderId="0" xfId="0" applyNumberFormat="1" applyFont="1" applyFill="1" applyBorder="1" applyAlignment="1" applyProtection="1">
      <alignment horizontal="center" vertical="center"/>
    </xf>
    <xf numFmtId="0" fontId="13" fillId="7" borderId="0" xfId="0" applyFont="1" applyFill="1" applyBorder="1" applyAlignment="1" applyProtection="1">
      <alignment horizontal="left" vertical="center"/>
    </xf>
    <xf numFmtId="0" fontId="16" fillId="7" borderId="0" xfId="0" applyFont="1" applyFill="1" applyBorder="1" applyAlignment="1" applyProtection="1">
      <alignment horizontal="right"/>
    </xf>
    <xf numFmtId="0" fontId="0" fillId="7" borderId="57" xfId="0" applyFill="1" applyBorder="1" applyProtection="1"/>
    <xf numFmtId="0" fontId="9" fillId="7" borderId="40" xfId="0" applyFont="1" applyFill="1" applyBorder="1" applyProtection="1"/>
    <xf numFmtId="0" fontId="0" fillId="7" borderId="40" xfId="0" applyFill="1" applyBorder="1" applyProtection="1"/>
    <xf numFmtId="167" fontId="0" fillId="7" borderId="0" xfId="0" applyNumberFormat="1" applyFill="1" applyBorder="1" applyProtection="1"/>
    <xf numFmtId="166" fontId="0" fillId="7" borderId="0" xfId="0" applyNumberFormat="1" applyFill="1" applyBorder="1" applyProtection="1"/>
    <xf numFmtId="0" fontId="4" fillId="7" borderId="0" xfId="0" applyFont="1" applyFill="1" applyBorder="1" applyProtection="1"/>
    <xf numFmtId="0" fontId="9" fillId="7" borderId="0" xfId="0" applyFont="1" applyFill="1" applyBorder="1" applyProtection="1"/>
    <xf numFmtId="0" fontId="4" fillId="7" borderId="0" xfId="0" applyFont="1" applyFill="1" applyBorder="1" applyAlignment="1" applyProtection="1">
      <alignment horizontal="right"/>
    </xf>
    <xf numFmtId="170" fontId="0" fillId="7" borderId="0" xfId="0" applyNumberFormat="1" applyFill="1" applyBorder="1" applyProtection="1"/>
    <xf numFmtId="0" fontId="0" fillId="7" borderId="64" xfId="0" applyFill="1" applyBorder="1" applyProtection="1"/>
    <xf numFmtId="0" fontId="9" fillId="7" borderId="65" xfId="0" applyFont="1" applyFill="1" applyBorder="1" applyProtection="1"/>
    <xf numFmtId="0" fontId="0" fillId="7" borderId="65" xfId="0" applyFill="1" applyBorder="1" applyProtection="1"/>
    <xf numFmtId="0" fontId="16" fillId="7" borderId="0" xfId="0" applyFont="1" applyFill="1" applyBorder="1" applyProtection="1"/>
    <xf numFmtId="0" fontId="15" fillId="7" borderId="34" xfId="0" applyFont="1" applyFill="1" applyBorder="1" applyProtection="1"/>
    <xf numFmtId="0" fontId="4" fillId="7" borderId="34" xfId="0" applyFont="1" applyFill="1" applyBorder="1" applyProtection="1"/>
    <xf numFmtId="167" fontId="4" fillId="7" borderId="0" xfId="0" applyNumberFormat="1" applyFont="1" applyFill="1" applyBorder="1" applyProtection="1"/>
    <xf numFmtId="181" fontId="4" fillId="7" borderId="0" xfId="0" applyNumberFormat="1" applyFont="1" applyFill="1" applyBorder="1" applyProtection="1"/>
    <xf numFmtId="174" fontId="16" fillId="7" borderId="0" xfId="0" applyNumberFormat="1" applyFont="1" applyFill="1" applyBorder="1" applyAlignment="1" applyProtection="1">
      <alignment horizontal="left"/>
    </xf>
    <xf numFmtId="0" fontId="0" fillId="7" borderId="71" xfId="0" applyFill="1" applyBorder="1" applyProtection="1"/>
    <xf numFmtId="0" fontId="9" fillId="7" borderId="4" xfId="0" applyFont="1" applyFill="1" applyBorder="1" applyProtection="1"/>
    <xf numFmtId="0" fontId="0" fillId="7" borderId="4" xfId="0" applyFill="1" applyBorder="1" applyProtection="1"/>
    <xf numFmtId="0" fontId="9" fillId="7" borderId="8" xfId="0" applyFont="1" applyFill="1" applyBorder="1" applyProtection="1"/>
    <xf numFmtId="0" fontId="0" fillId="7" borderId="8" xfId="0" applyFill="1" applyBorder="1" applyProtection="1"/>
    <xf numFmtId="0" fontId="0" fillId="7" borderId="0" xfId="0" applyNumberFormat="1" applyFill="1" applyBorder="1" applyAlignment="1" applyProtection="1">
      <alignment horizontal="center"/>
    </xf>
    <xf numFmtId="165" fontId="4" fillId="7" borderId="0" xfId="0" applyNumberFormat="1" applyFont="1" applyFill="1" applyBorder="1" applyProtection="1"/>
    <xf numFmtId="165" fontId="4" fillId="7" borderId="3" xfId="0" applyNumberFormat="1" applyFont="1" applyFill="1" applyBorder="1" applyProtection="1"/>
    <xf numFmtId="0" fontId="0" fillId="7" borderId="0" xfId="0" applyFill="1" applyBorder="1" applyAlignment="1" applyProtection="1">
      <alignment horizontal="center"/>
    </xf>
    <xf numFmtId="166" fontId="4" fillId="7" borderId="0" xfId="0" applyNumberFormat="1" applyFont="1" applyFill="1" applyBorder="1" applyProtection="1"/>
    <xf numFmtId="164" fontId="0" fillId="7" borderId="0" xfId="0" applyNumberFormat="1" applyFill="1" applyBorder="1" applyProtection="1"/>
    <xf numFmtId="176" fontId="1" fillId="7" borderId="0" xfId="2" applyNumberFormat="1" applyFont="1" applyFill="1" applyBorder="1" applyProtection="1"/>
    <xf numFmtId="10" fontId="1" fillId="7" borderId="0" xfId="2" applyNumberFormat="1" applyFont="1" applyFill="1" applyBorder="1" applyProtection="1"/>
    <xf numFmtId="0" fontId="5" fillId="7" borderId="0" xfId="0" applyFont="1" applyFill="1" applyBorder="1" applyProtection="1"/>
    <xf numFmtId="169" fontId="22" fillId="7" borderId="0" xfId="0" applyNumberFormat="1" applyFont="1" applyFill="1" applyBorder="1" applyAlignment="1" applyProtection="1">
      <alignment horizontal="center" vertical="center"/>
    </xf>
    <xf numFmtId="0" fontId="3" fillId="7" borderId="0" xfId="0" applyFont="1" applyFill="1" applyBorder="1" applyProtection="1"/>
    <xf numFmtId="167" fontId="5" fillId="7" borderId="0" xfId="0" applyNumberFormat="1" applyFont="1" applyFill="1" applyBorder="1" applyProtection="1"/>
    <xf numFmtId="0" fontId="5" fillId="7" borderId="0" xfId="0" applyFont="1" applyFill="1" applyBorder="1" applyAlignment="1" applyProtection="1">
      <alignment horizontal="right"/>
    </xf>
    <xf numFmtId="173" fontId="5" fillId="7" borderId="0" xfId="1" applyNumberFormat="1" applyFont="1" applyFill="1" applyBorder="1" applyProtection="1"/>
    <xf numFmtId="182" fontId="5" fillId="7" borderId="0" xfId="0" applyNumberFormat="1" applyFont="1" applyFill="1" applyBorder="1" applyProtection="1"/>
    <xf numFmtId="44" fontId="3" fillId="7" borderId="0" xfId="0" applyNumberFormat="1" applyFont="1" applyFill="1" applyBorder="1" applyProtection="1"/>
    <xf numFmtId="182" fontId="3" fillId="7" borderId="0" xfId="0" applyNumberFormat="1" applyFont="1" applyFill="1" applyBorder="1" applyProtection="1"/>
    <xf numFmtId="0" fontId="0" fillId="7" borderId="3" xfId="0" applyFill="1" applyBorder="1" applyProtection="1"/>
    <xf numFmtId="0" fontId="20" fillId="7" borderId="3" xfId="0" applyFont="1" applyFill="1" applyBorder="1" applyAlignment="1" applyProtection="1">
      <alignment vertical="top"/>
    </xf>
    <xf numFmtId="0" fontId="19" fillId="7" borderId="3" xfId="0" applyFont="1" applyFill="1" applyBorder="1" applyProtection="1"/>
    <xf numFmtId="0" fontId="29" fillId="7" borderId="0" xfId="0" applyFont="1" applyFill="1" applyProtection="1"/>
    <xf numFmtId="165" fontId="11" fillId="3" borderId="10" xfId="0" quotePrefix="1" applyNumberFormat="1" applyFont="1" applyFill="1" applyBorder="1" applyProtection="1"/>
    <xf numFmtId="0" fontId="15" fillId="4" borderId="16" xfId="0" quotePrefix="1" applyFont="1" applyFill="1" applyBorder="1" applyAlignment="1" applyProtection="1">
      <alignment horizontal="right" vertical="center"/>
    </xf>
    <xf numFmtId="164" fontId="0" fillId="9" borderId="20" xfId="0" quotePrefix="1" applyNumberFormat="1" applyFill="1" applyBorder="1" applyProtection="1"/>
    <xf numFmtId="164" fontId="0" fillId="3" borderId="20" xfId="0" quotePrefix="1" applyNumberFormat="1" applyFill="1" applyBorder="1" applyProtection="1"/>
    <xf numFmtId="164" fontId="0" fillId="3" borderId="33" xfId="0" quotePrefix="1" applyNumberFormat="1" applyFill="1" applyBorder="1" applyProtection="1"/>
    <xf numFmtId="164" fontId="0" fillId="3" borderId="39" xfId="0" quotePrefix="1" applyNumberFormat="1" applyFill="1" applyBorder="1" applyProtection="1"/>
    <xf numFmtId="164" fontId="0" fillId="3" borderId="44" xfId="0" quotePrefix="1" applyNumberFormat="1" applyFill="1" applyBorder="1" applyProtection="1"/>
    <xf numFmtId="164" fontId="0" fillId="3" borderId="45" xfId="0" quotePrefix="1" applyNumberFormat="1" applyFill="1" applyBorder="1" applyProtection="1"/>
    <xf numFmtId="164" fontId="0" fillId="3" borderId="51" xfId="0" quotePrefix="1" applyNumberFormat="1" applyFill="1" applyBorder="1" applyProtection="1"/>
    <xf numFmtId="0" fontId="33" fillId="3" borderId="0" xfId="0" applyFont="1" applyFill="1"/>
    <xf numFmtId="190" fontId="1" fillId="7" borderId="69" xfId="1" applyNumberFormat="1" applyFont="1" applyFill="1" applyBorder="1" applyProtection="1"/>
    <xf numFmtId="190" fontId="1" fillId="7" borderId="56" xfId="1" applyNumberFormat="1" applyFont="1" applyFill="1" applyBorder="1" applyProtection="1"/>
    <xf numFmtId="190" fontId="1" fillId="7" borderId="58" xfId="1" applyNumberFormat="1" applyFont="1" applyFill="1" applyBorder="1" applyProtection="1"/>
    <xf numFmtId="190" fontId="4" fillId="7" borderId="0" xfId="1" applyNumberFormat="1" applyFont="1" applyFill="1" applyBorder="1" applyProtection="1"/>
    <xf numFmtId="190" fontId="1" fillId="7" borderId="66" xfId="1" applyNumberFormat="1" applyFont="1" applyFill="1" applyBorder="1" applyProtection="1"/>
    <xf numFmtId="190" fontId="1" fillId="7" borderId="72" xfId="1" applyNumberFormat="1" applyFont="1" applyFill="1" applyBorder="1" applyProtection="1"/>
    <xf numFmtId="0" fontId="35" fillId="7" borderId="0" xfId="0" applyFont="1" applyFill="1" applyBorder="1" applyProtection="1"/>
    <xf numFmtId="164" fontId="5" fillId="7" borderId="0" xfId="0" applyNumberFormat="1" applyFont="1" applyFill="1" applyBorder="1" applyProtection="1"/>
    <xf numFmtId="164" fontId="5" fillId="7" borderId="0" xfId="1" applyNumberFormat="1" applyFont="1" applyFill="1" applyBorder="1" applyProtection="1"/>
    <xf numFmtId="164" fontId="3" fillId="7" borderId="0" xfId="0" applyNumberFormat="1" applyFont="1" applyFill="1" applyBorder="1" applyProtection="1"/>
    <xf numFmtId="0" fontId="36" fillId="7" borderId="0" xfId="0" applyFont="1" applyFill="1" applyProtection="1"/>
    <xf numFmtId="165" fontId="5" fillId="7" borderId="0" xfId="0" applyNumberFormat="1" applyFont="1" applyFill="1" applyBorder="1" applyProtection="1"/>
    <xf numFmtId="0" fontId="5" fillId="7" borderId="0" xfId="0" applyFont="1" applyFill="1" applyProtection="1"/>
    <xf numFmtId="0" fontId="4" fillId="0" borderId="8" xfId="0" applyFont="1" applyFill="1" applyBorder="1"/>
    <xf numFmtId="14" fontId="4" fillId="0" borderId="8" xfId="0" quotePrefix="1" applyNumberFormat="1" applyFont="1" applyFill="1" applyBorder="1" applyProtection="1">
      <protection locked="0"/>
    </xf>
    <xf numFmtId="0" fontId="0" fillId="0" borderId="0" xfId="0" applyFill="1" applyBorder="1"/>
    <xf numFmtId="0" fontId="0" fillId="0" borderId="0" xfId="0" applyFill="1" applyBorder="1" applyAlignment="1">
      <alignment horizontal="center"/>
    </xf>
    <xf numFmtId="164" fontId="0" fillId="0" borderId="0" xfId="0" applyNumberFormat="1" applyFill="1" applyBorder="1"/>
    <xf numFmtId="0" fontId="28" fillId="0" borderId="0" xfId="0" applyFont="1" applyFill="1" applyBorder="1"/>
    <xf numFmtId="176" fontId="1" fillId="0" borderId="0" xfId="2" applyNumberFormat="1" applyFont="1" applyFill="1" applyBorder="1"/>
    <xf numFmtId="173" fontId="4" fillId="0" borderId="0" xfId="0" applyNumberFormat="1" applyFont="1" applyFill="1" applyBorder="1" applyAlignment="1">
      <alignment horizontal="right"/>
    </xf>
    <xf numFmtId="10" fontId="1" fillId="0" borderId="0" xfId="2" applyNumberFormat="1" applyFont="1" applyFill="1" applyBorder="1"/>
    <xf numFmtId="171" fontId="0" fillId="0" borderId="0" xfId="0" applyNumberFormat="1" applyFill="1" applyBorder="1"/>
    <xf numFmtId="173" fontId="0" fillId="0" borderId="0" xfId="0" applyNumberFormat="1" applyFill="1" applyBorder="1"/>
    <xf numFmtId="0" fontId="26" fillId="0" borderId="0" xfId="0" applyFont="1" applyFill="1" applyBorder="1"/>
    <xf numFmtId="0" fontId="31" fillId="0" borderId="0" xfId="0" applyFont="1" applyFill="1" applyBorder="1"/>
    <xf numFmtId="0" fontId="32" fillId="0" borderId="0" xfId="0" applyFont="1" applyFill="1" applyBorder="1"/>
    <xf numFmtId="0" fontId="0" fillId="3" borderId="0" xfId="0" applyFill="1" applyProtection="1"/>
    <xf numFmtId="0" fontId="7" fillId="3" borderId="0" xfId="0" applyFont="1" applyFill="1" applyAlignment="1" applyProtection="1">
      <alignment vertical="top"/>
    </xf>
    <xf numFmtId="0" fontId="0" fillId="3" borderId="0" xfId="0" applyFill="1" applyBorder="1" applyProtection="1"/>
    <xf numFmtId="0" fontId="8" fillId="3" borderId="0" xfId="0" applyFont="1" applyFill="1" applyProtection="1"/>
    <xf numFmtId="0" fontId="10" fillId="3" borderId="7" xfId="0" applyFont="1" applyFill="1" applyBorder="1" applyAlignment="1" applyProtection="1">
      <alignment horizontal="left"/>
    </xf>
    <xf numFmtId="14" fontId="9" fillId="3" borderId="81" xfId="0" quotePrefix="1" applyNumberFormat="1" applyFont="1" applyFill="1" applyBorder="1" applyProtection="1"/>
    <xf numFmtId="0" fontId="10" fillId="3" borderId="9" xfId="0" applyFont="1" applyFill="1" applyBorder="1" applyAlignment="1" applyProtection="1">
      <alignment horizontal="left"/>
    </xf>
    <xf numFmtId="14" fontId="9" fillId="3" borderId="2" xfId="0" quotePrefix="1" applyNumberFormat="1" applyFont="1" applyFill="1" applyBorder="1" applyAlignment="1" applyProtection="1">
      <alignment horizontal="right" vertical="center"/>
    </xf>
    <xf numFmtId="168" fontId="11" fillId="3" borderId="11" xfId="0" applyNumberFormat="1" applyFont="1" applyFill="1" applyBorder="1" applyAlignment="1" applyProtection="1">
      <alignment horizontal="left"/>
    </xf>
    <xf numFmtId="14" fontId="0" fillId="3" borderId="0" xfId="0" applyNumberFormat="1" applyFill="1" applyProtection="1"/>
    <xf numFmtId="0" fontId="14" fillId="4" borderId="13" xfId="0" applyFont="1" applyFill="1" applyBorder="1" applyAlignment="1" applyProtection="1">
      <alignment horizontal="center" vertical="center"/>
    </xf>
    <xf numFmtId="0" fontId="13" fillId="4" borderId="14" xfId="0" applyFont="1" applyFill="1" applyBorder="1" applyAlignment="1" applyProtection="1">
      <alignment horizontal="center" vertical="center"/>
    </xf>
    <xf numFmtId="0" fontId="13" fillId="4" borderId="15" xfId="0" applyFont="1" applyFill="1" applyBorder="1" applyAlignment="1" applyProtection="1">
      <alignment horizontal="center" vertical="center"/>
    </xf>
    <xf numFmtId="0" fontId="15" fillId="4" borderId="13" xfId="0" applyFont="1" applyFill="1" applyBorder="1" applyAlignment="1" applyProtection="1">
      <alignment vertical="center"/>
    </xf>
    <xf numFmtId="0" fontId="4" fillId="4" borderId="13" xfId="0" applyFont="1" applyFill="1" applyBorder="1" applyProtection="1"/>
    <xf numFmtId="169" fontId="15" fillId="4" borderId="15" xfId="0" applyNumberFormat="1" applyFont="1" applyFill="1" applyBorder="1" applyAlignment="1" applyProtection="1">
      <alignment horizontal="center" vertical="center"/>
    </xf>
    <xf numFmtId="169" fontId="15" fillId="4" borderId="17" xfId="0" applyNumberFormat="1" applyFont="1" applyFill="1" applyBorder="1" applyAlignment="1" applyProtection="1">
      <alignment horizontal="center" vertical="center"/>
    </xf>
    <xf numFmtId="169" fontId="15" fillId="4" borderId="18" xfId="0" applyNumberFormat="1"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0" fontId="15" fillId="4" borderId="14" xfId="0" applyFont="1" applyFill="1" applyBorder="1" applyAlignment="1" applyProtection="1">
      <alignment horizontal="center" vertical="center"/>
    </xf>
    <xf numFmtId="0" fontId="15" fillId="4" borderId="24" xfId="0" quotePrefix="1" applyFont="1" applyFill="1" applyBorder="1" applyAlignment="1" applyProtection="1">
      <alignment horizontal="center" vertical="center"/>
    </xf>
    <xf numFmtId="0" fontId="16" fillId="8" borderId="14" xfId="0" quotePrefix="1" applyFont="1" applyFill="1" applyBorder="1" applyAlignment="1" applyProtection="1">
      <alignment horizontal="right"/>
    </xf>
    <xf numFmtId="0" fontId="9" fillId="8" borderId="18" xfId="0" quotePrefix="1" applyFont="1" applyFill="1" applyBorder="1" applyProtection="1"/>
    <xf numFmtId="0" fontId="0" fillId="8" borderId="15" xfId="0" applyFill="1" applyBorder="1" applyProtection="1"/>
    <xf numFmtId="166" fontId="0" fillId="8" borderId="17" xfId="0" applyNumberFormat="1" applyFill="1" applyBorder="1" applyProtection="1"/>
    <xf numFmtId="166" fontId="0" fillId="8" borderId="19" xfId="0" quotePrefix="1" applyNumberFormat="1" applyFill="1" applyBorder="1" applyProtection="1"/>
    <xf numFmtId="44" fontId="0" fillId="8" borderId="14" xfId="1" quotePrefix="1" applyFont="1" applyFill="1" applyBorder="1" applyProtection="1"/>
    <xf numFmtId="0" fontId="0" fillId="9" borderId="22" xfId="0" applyFill="1" applyBorder="1" applyProtection="1"/>
    <xf numFmtId="0" fontId="9" fillId="9" borderId="18" xfId="0" quotePrefix="1" applyFont="1" applyFill="1" applyBorder="1" applyProtection="1"/>
    <xf numFmtId="187" fontId="4" fillId="9" borderId="24" xfId="0" quotePrefix="1" applyNumberFormat="1" applyFont="1" applyFill="1" applyBorder="1" applyAlignment="1" applyProtection="1">
      <alignment horizontal="right"/>
    </xf>
    <xf numFmtId="167" fontId="0" fillId="9" borderId="15" xfId="0" applyNumberFormat="1" applyFill="1" applyBorder="1" applyProtection="1"/>
    <xf numFmtId="167" fontId="0" fillId="9" borderId="17" xfId="0" applyNumberFormat="1" applyFill="1" applyBorder="1" applyProtection="1"/>
    <xf numFmtId="170" fontId="0" fillId="9" borderId="18" xfId="0" applyNumberFormat="1" applyFill="1" applyBorder="1" applyProtection="1"/>
    <xf numFmtId="167" fontId="0" fillId="9" borderId="19" xfId="0" applyNumberFormat="1" applyFill="1" applyBorder="1" applyProtection="1"/>
    <xf numFmtId="0" fontId="9" fillId="9" borderId="13" xfId="0" quotePrefix="1" applyFont="1" applyFill="1" applyBorder="1" applyProtection="1"/>
    <xf numFmtId="166" fontId="0" fillId="9" borderId="17" xfId="0" quotePrefix="1" applyNumberFormat="1" applyFill="1" applyBorder="1" applyProtection="1"/>
    <xf numFmtId="166" fontId="0" fillId="9" borderId="19" xfId="0" quotePrefix="1" applyNumberFormat="1" applyFill="1" applyBorder="1" applyProtection="1"/>
    <xf numFmtId="0" fontId="15" fillId="4" borderId="0" xfId="0" applyFont="1" applyFill="1" applyBorder="1" applyProtection="1"/>
    <xf numFmtId="167" fontId="4" fillId="4" borderId="0" xfId="0" applyNumberFormat="1" applyFont="1" applyFill="1" applyBorder="1" applyProtection="1"/>
    <xf numFmtId="167" fontId="4" fillId="4" borderId="0" xfId="0" applyNumberFormat="1" applyFont="1" applyFill="1" applyBorder="1" applyAlignment="1" applyProtection="1">
      <alignment horizontal="right"/>
    </xf>
    <xf numFmtId="172" fontId="4" fillId="4" borderId="0" xfId="0" quotePrefix="1" applyNumberFormat="1" applyFont="1" applyFill="1" applyBorder="1" applyProtection="1"/>
    <xf numFmtId="173" fontId="4" fillId="4" borderId="0" xfId="1" quotePrefix="1" applyNumberFormat="1" applyFont="1" applyFill="1" applyBorder="1" applyProtection="1"/>
    <xf numFmtId="0" fontId="0" fillId="3" borderId="22" xfId="0" applyFill="1" applyBorder="1" applyProtection="1"/>
    <xf numFmtId="0" fontId="9" fillId="3" borderId="18" xfId="0" quotePrefix="1" applyFont="1" applyFill="1" applyBorder="1" applyProtection="1"/>
    <xf numFmtId="0" fontId="0" fillId="3" borderId="15" xfId="0" applyFill="1" applyBorder="1" applyProtection="1"/>
    <xf numFmtId="166" fontId="0" fillId="3" borderId="17" xfId="0" applyNumberFormat="1" applyFill="1" applyBorder="1" applyProtection="1"/>
    <xf numFmtId="166" fontId="0" fillId="3" borderId="17" xfId="0" quotePrefix="1" applyNumberFormat="1" applyFill="1" applyBorder="1" applyProtection="1"/>
    <xf numFmtId="166" fontId="0" fillId="3" borderId="18" xfId="0" quotePrefix="1" applyNumberFormat="1" applyFill="1" applyBorder="1" applyProtection="1"/>
    <xf numFmtId="166" fontId="0" fillId="3" borderId="19" xfId="0" quotePrefix="1" applyNumberFormat="1" applyFill="1" applyBorder="1" applyProtection="1"/>
    <xf numFmtId="44" fontId="0" fillId="3" borderId="23" xfId="1" quotePrefix="1" applyFont="1" applyFill="1" applyBorder="1" applyProtection="1"/>
    <xf numFmtId="173" fontId="4" fillId="3" borderId="54" xfId="1" quotePrefix="1" applyNumberFormat="1" applyFont="1" applyFill="1" applyBorder="1" applyProtection="1"/>
    <xf numFmtId="175" fontId="4" fillId="3" borderId="0" xfId="0" applyNumberFormat="1" applyFont="1" applyFill="1" applyBorder="1" applyProtection="1"/>
    <xf numFmtId="0" fontId="9" fillId="3" borderId="31" xfId="0" quotePrefix="1" applyFont="1" applyFill="1" applyBorder="1" applyProtection="1"/>
    <xf numFmtId="0" fontId="0" fillId="3" borderId="32" xfId="0" applyFill="1" applyBorder="1" applyProtection="1"/>
    <xf numFmtId="166" fontId="0" fillId="3" borderId="34" xfId="0" quotePrefix="1" applyNumberFormat="1" applyFill="1" applyBorder="1" applyProtection="1"/>
    <xf numFmtId="166" fontId="0" fillId="3" borderId="34" xfId="0" applyNumberFormat="1" applyFill="1" applyBorder="1" applyProtection="1"/>
    <xf numFmtId="166" fontId="0" fillId="3" borderId="31" xfId="0" applyNumberFormat="1" applyFill="1" applyBorder="1" applyProtection="1"/>
    <xf numFmtId="166" fontId="0" fillId="3" borderId="35" xfId="0" quotePrefix="1" applyNumberFormat="1" applyFill="1" applyBorder="1" applyProtection="1"/>
    <xf numFmtId="44" fontId="0" fillId="3" borderId="30" xfId="1" quotePrefix="1" applyFont="1" applyFill="1" applyBorder="1" applyProtection="1"/>
    <xf numFmtId="173" fontId="4" fillId="3" borderId="36" xfId="1" quotePrefix="1" applyNumberFormat="1" applyFont="1" applyFill="1" applyBorder="1" applyProtection="1"/>
    <xf numFmtId="0" fontId="9" fillId="3" borderId="38" xfId="0" quotePrefix="1" applyFont="1" applyFill="1" applyBorder="1" applyProtection="1"/>
    <xf numFmtId="0" fontId="0" fillId="3" borderId="37" xfId="0" applyFill="1" applyBorder="1" applyProtection="1"/>
    <xf numFmtId="166" fontId="0" fillId="3" borderId="40" xfId="0" quotePrefix="1" applyNumberFormat="1" applyFill="1" applyBorder="1" applyProtection="1"/>
    <xf numFmtId="166" fontId="0" fillId="3" borderId="40" xfId="0" applyNumberFormat="1" applyFill="1" applyBorder="1" applyProtection="1"/>
    <xf numFmtId="166" fontId="0" fillId="3" borderId="38" xfId="0" applyNumberFormat="1" applyFill="1" applyBorder="1" applyProtection="1"/>
    <xf numFmtId="166" fontId="0" fillId="3" borderId="41" xfId="0" quotePrefix="1" applyNumberFormat="1" applyFill="1" applyBorder="1" applyProtection="1"/>
    <xf numFmtId="44" fontId="0" fillId="3" borderId="83" xfId="1" quotePrefix="1" applyFont="1" applyFill="1" applyBorder="1" applyProtection="1"/>
    <xf numFmtId="173" fontId="4" fillId="3" borderId="46" xfId="1" quotePrefix="1" applyNumberFormat="1" applyFont="1" applyFill="1" applyBorder="1" applyProtection="1"/>
    <xf numFmtId="0" fontId="12" fillId="3" borderId="32" xfId="0" applyFont="1" applyFill="1" applyBorder="1" applyProtection="1"/>
    <xf numFmtId="166" fontId="0" fillId="3" borderId="31" xfId="0" quotePrefix="1" applyNumberFormat="1" applyFill="1" applyBorder="1" applyProtection="1"/>
    <xf numFmtId="0" fontId="9" fillId="3" borderId="43" xfId="0" quotePrefix="1" applyFont="1" applyFill="1" applyBorder="1" applyProtection="1"/>
    <xf numFmtId="0" fontId="0" fillId="3" borderId="42" xfId="0" applyFill="1" applyBorder="1" applyProtection="1"/>
    <xf numFmtId="166" fontId="0" fillId="3" borderId="38" xfId="0" quotePrefix="1" applyNumberFormat="1" applyFill="1" applyBorder="1" applyProtection="1"/>
    <xf numFmtId="44" fontId="0" fillId="3" borderId="85" xfId="1" quotePrefix="1" applyFont="1" applyFill="1" applyBorder="1" applyProtection="1"/>
    <xf numFmtId="0" fontId="0" fillId="3" borderId="26" xfId="0" applyFill="1" applyBorder="1" applyProtection="1"/>
    <xf numFmtId="0" fontId="9" fillId="3" borderId="49" xfId="0" quotePrefix="1" applyFont="1" applyFill="1" applyBorder="1" applyProtection="1"/>
    <xf numFmtId="0" fontId="0" fillId="3" borderId="50" xfId="0" applyFill="1" applyBorder="1" applyProtection="1"/>
    <xf numFmtId="44" fontId="0" fillId="3" borderId="52" xfId="1" quotePrefix="1" applyFont="1" applyFill="1" applyBorder="1" applyProtection="1"/>
    <xf numFmtId="0" fontId="15" fillId="3" borderId="10" xfId="0" applyFont="1" applyFill="1" applyBorder="1" applyAlignment="1" applyProtection="1">
      <alignment horizontal="right"/>
    </xf>
    <xf numFmtId="44" fontId="4" fillId="3" borderId="10" xfId="1" quotePrefix="1" applyFont="1" applyFill="1" applyBorder="1" applyProtection="1"/>
    <xf numFmtId="0" fontId="11" fillId="3" borderId="0" xfId="0" applyFont="1" applyFill="1" applyProtection="1"/>
    <xf numFmtId="164" fontId="0" fillId="3" borderId="0" xfId="0" applyNumberFormat="1" applyFill="1" applyProtection="1"/>
    <xf numFmtId="0" fontId="0" fillId="3" borderId="3" xfId="0" applyFill="1" applyBorder="1" applyProtection="1"/>
    <xf numFmtId="0" fontId="15" fillId="3" borderId="3" xfId="0" applyFont="1" applyFill="1" applyBorder="1" applyAlignment="1" applyProtection="1">
      <alignment horizontal="right"/>
    </xf>
    <xf numFmtId="195" fontId="15" fillId="3" borderId="0" xfId="0" quotePrefix="1" applyNumberFormat="1" applyFont="1" applyFill="1" applyBorder="1" applyAlignment="1" applyProtection="1">
      <alignment horizontal="right" vertical="center"/>
    </xf>
    <xf numFmtId="14" fontId="4" fillId="6" borderId="80" xfId="0" quotePrefix="1" applyNumberFormat="1" applyFont="1" applyFill="1" applyBorder="1" applyAlignment="1" applyProtection="1">
      <alignment horizontal="center"/>
    </xf>
    <xf numFmtId="0" fontId="9" fillId="11" borderId="2" xfId="0" applyFont="1" applyFill="1" applyBorder="1" applyAlignment="1" applyProtection="1">
      <alignment horizontal="center" vertical="center"/>
    </xf>
    <xf numFmtId="0" fontId="0" fillId="6" borderId="8" xfId="0" applyFont="1" applyFill="1" applyBorder="1" applyAlignment="1" applyProtection="1">
      <alignment horizontal="center"/>
    </xf>
    <xf numFmtId="14" fontId="0" fillId="6" borderId="79" xfId="0" quotePrefix="1" applyNumberFormat="1" applyFont="1" applyFill="1" applyBorder="1" applyAlignment="1" applyProtection="1">
      <alignment horizontal="center"/>
    </xf>
    <xf numFmtId="0" fontId="9" fillId="3" borderId="4" xfId="0" applyFont="1" applyFill="1" applyBorder="1" applyAlignment="1" applyProtection="1">
      <alignment horizontal="center"/>
    </xf>
    <xf numFmtId="167" fontId="9" fillId="3" borderId="4" xfId="0" quotePrefix="1" applyNumberFormat="1" applyFont="1" applyFill="1" applyBorder="1" applyProtection="1"/>
    <xf numFmtId="0" fontId="9" fillId="3" borderId="8" xfId="0" applyFont="1" applyFill="1" applyBorder="1" applyAlignment="1" applyProtection="1">
      <alignment horizontal="center"/>
    </xf>
    <xf numFmtId="167" fontId="9" fillId="3" borderId="8" xfId="0" quotePrefix="1" applyNumberFormat="1" applyFont="1" applyFill="1" applyBorder="1" applyProtection="1"/>
    <xf numFmtId="0" fontId="9" fillId="3" borderId="2" xfId="0" applyFont="1" applyFill="1" applyBorder="1" applyAlignment="1" applyProtection="1">
      <alignment horizontal="center"/>
    </xf>
    <xf numFmtId="167" fontId="9" fillId="3" borderId="2" xfId="0" quotePrefix="1" applyNumberFormat="1" applyFont="1" applyFill="1" applyBorder="1" applyProtection="1"/>
    <xf numFmtId="167" fontId="43" fillId="3" borderId="0" xfId="0" applyNumberFormat="1" applyFont="1" applyFill="1" applyAlignment="1" applyProtection="1">
      <alignment horizontal="right"/>
    </xf>
    <xf numFmtId="14" fontId="15" fillId="3" borderId="0" xfId="0" quotePrefix="1" applyNumberFormat="1" applyFont="1" applyFill="1" applyBorder="1" applyProtection="1"/>
    <xf numFmtId="173" fontId="4" fillId="9" borderId="24" xfId="1" quotePrefix="1" applyNumberFormat="1" applyFont="1" applyFill="1" applyBorder="1" applyProtection="1"/>
    <xf numFmtId="0" fontId="44" fillId="4" borderId="24" xfId="0" applyFont="1" applyFill="1" applyBorder="1" applyAlignment="1" applyProtection="1">
      <alignment horizontal="center" vertical="center"/>
    </xf>
    <xf numFmtId="173" fontId="4" fillId="9" borderId="46" xfId="1" quotePrefix="1" applyNumberFormat="1" applyFont="1" applyFill="1" applyBorder="1" applyProtection="1"/>
    <xf numFmtId="166" fontId="0" fillId="8" borderId="15" xfId="0" applyNumberFormat="1" applyFill="1" applyBorder="1" applyProtection="1"/>
    <xf numFmtId="166" fontId="30" fillId="8" borderId="18" xfId="0" quotePrefix="1" applyNumberFormat="1" applyFont="1" applyFill="1" applyBorder="1" applyProtection="1"/>
    <xf numFmtId="173" fontId="4" fillId="8" borderId="24" xfId="1" quotePrefix="1" applyNumberFormat="1" applyFont="1" applyFill="1" applyBorder="1" applyProtection="1"/>
    <xf numFmtId="164" fontId="0" fillId="8" borderId="20" xfId="0" quotePrefix="1" applyNumberFormat="1" applyFill="1" applyBorder="1" applyProtection="1"/>
    <xf numFmtId="9" fontId="0" fillId="9" borderId="24" xfId="0" applyNumberFormat="1" applyFill="1" applyBorder="1" applyProtection="1">
      <protection locked="0"/>
    </xf>
    <xf numFmtId="166" fontId="0" fillId="9" borderId="15" xfId="0" applyNumberFormat="1" applyFill="1" applyBorder="1" applyProtection="1"/>
    <xf numFmtId="166" fontId="0" fillId="9" borderId="18" xfId="0" applyNumberFormat="1" applyFill="1" applyBorder="1" applyProtection="1"/>
    <xf numFmtId="197" fontId="4" fillId="4" borderId="0" xfId="0" applyNumberFormat="1" applyFont="1" applyFill="1" applyBorder="1" applyAlignment="1" applyProtection="1">
      <alignment horizontal="center"/>
    </xf>
    <xf numFmtId="9" fontId="0" fillId="4" borderId="24" xfId="0" applyNumberFormat="1" applyFill="1" applyBorder="1" applyProtection="1">
      <protection locked="0"/>
    </xf>
    <xf numFmtId="173" fontId="46" fillId="4" borderId="0" xfId="1" quotePrefix="1" applyNumberFormat="1" applyFont="1" applyFill="1" applyBorder="1" applyProtection="1"/>
    <xf numFmtId="173" fontId="38" fillId="3" borderId="54" xfId="1" quotePrefix="1" applyNumberFormat="1" applyFont="1" applyFill="1" applyBorder="1" applyProtection="1"/>
    <xf numFmtId="173" fontId="38" fillId="3" borderId="82" xfId="1" quotePrefix="1" applyNumberFormat="1" applyFont="1" applyFill="1" applyBorder="1" applyProtection="1"/>
    <xf numFmtId="173" fontId="38" fillId="3" borderId="84" xfId="1" quotePrefix="1" applyNumberFormat="1" applyFont="1" applyFill="1" applyBorder="1" applyProtection="1"/>
    <xf numFmtId="173" fontId="38" fillId="3" borderId="6" xfId="1" quotePrefix="1" applyNumberFormat="1" applyFont="1" applyFill="1" applyBorder="1" applyProtection="1"/>
    <xf numFmtId="173" fontId="38" fillId="3" borderId="24" xfId="1" quotePrefix="1" applyNumberFormat="1" applyFont="1" applyFill="1" applyBorder="1" applyProtection="1"/>
    <xf numFmtId="42" fontId="38" fillId="9" borderId="24" xfId="0" quotePrefix="1" applyNumberFormat="1" applyFont="1" applyFill="1" applyBorder="1" applyProtection="1"/>
    <xf numFmtId="180" fontId="42" fillId="7" borderId="79" xfId="0" applyNumberFormat="1" applyFont="1" applyFill="1" applyBorder="1" applyAlignment="1" applyProtection="1">
      <alignment horizontal="right"/>
      <protection locked="0"/>
    </xf>
    <xf numFmtId="9" fontId="42" fillId="0" borderId="79" xfId="0" applyNumberFormat="1" applyFont="1" applyFill="1" applyBorder="1" applyProtection="1">
      <protection locked="0"/>
    </xf>
    <xf numFmtId="167" fontId="42" fillId="7" borderId="79" xfId="0" applyNumberFormat="1" applyFont="1" applyFill="1" applyBorder="1" applyProtection="1">
      <protection locked="0"/>
    </xf>
    <xf numFmtId="14" fontId="42" fillId="7" borderId="43" xfId="0" applyNumberFormat="1" applyFont="1" applyFill="1" applyBorder="1" applyProtection="1">
      <protection locked="0"/>
    </xf>
    <xf numFmtId="167" fontId="42" fillId="7" borderId="79" xfId="0" quotePrefix="1" applyNumberFormat="1" applyFont="1" applyFill="1" applyBorder="1" applyProtection="1">
      <protection locked="0"/>
    </xf>
    <xf numFmtId="0" fontId="39" fillId="12" borderId="86" xfId="0" applyFont="1" applyFill="1" applyBorder="1" applyAlignment="1" applyProtection="1">
      <alignment horizontal="center"/>
    </xf>
    <xf numFmtId="196" fontId="40" fillId="12" borderId="86" xfId="0" applyNumberFormat="1" applyFont="1" applyFill="1" applyBorder="1" applyProtection="1"/>
    <xf numFmtId="0" fontId="0" fillId="12" borderId="86" xfId="0" applyFill="1" applyBorder="1" applyProtection="1"/>
    <xf numFmtId="0" fontId="0" fillId="12" borderId="4" xfId="0" applyFill="1" applyBorder="1" applyProtection="1"/>
    <xf numFmtId="0" fontId="47" fillId="3" borderId="0" xfId="0" applyFont="1" applyFill="1"/>
    <xf numFmtId="0" fontId="0" fillId="13" borderId="60" xfId="0" applyFill="1" applyBorder="1" applyAlignment="1">
      <alignment horizontal="center"/>
    </xf>
    <xf numFmtId="0" fontId="0" fillId="13" borderId="17" xfId="0" applyFill="1" applyBorder="1" applyAlignment="1">
      <alignment horizontal="center"/>
    </xf>
    <xf numFmtId="0" fontId="0" fillId="13" borderId="61" xfId="0" applyFill="1" applyBorder="1" applyAlignment="1">
      <alignment horizontal="center"/>
    </xf>
    <xf numFmtId="0" fontId="48" fillId="13" borderId="24" xfId="0" applyFont="1" applyFill="1" applyBorder="1"/>
    <xf numFmtId="0" fontId="46" fillId="13" borderId="12" xfId="0" applyFont="1" applyFill="1" applyBorder="1"/>
    <xf numFmtId="0" fontId="0" fillId="13" borderId="13" xfId="0" applyFill="1" applyBorder="1"/>
    <xf numFmtId="0" fontId="0" fillId="13" borderId="14" xfId="0" applyFill="1" applyBorder="1"/>
    <xf numFmtId="164" fontId="15" fillId="4" borderId="27" xfId="0" applyNumberFormat="1" applyFont="1" applyFill="1" applyBorder="1" applyAlignment="1" applyProtection="1">
      <alignment horizontal="right"/>
    </xf>
    <xf numFmtId="0" fontId="39" fillId="12" borderId="75" xfId="0" applyFont="1" applyFill="1" applyBorder="1" applyAlignment="1" applyProtection="1">
      <alignment horizontal="center"/>
    </xf>
    <xf numFmtId="200" fontId="11" fillId="3" borderId="10" xfId="0" quotePrefix="1" applyNumberFormat="1" applyFont="1" applyFill="1" applyBorder="1" applyAlignment="1" applyProtection="1">
      <alignment horizontal="left"/>
    </xf>
    <xf numFmtId="0" fontId="38" fillId="0" borderId="0" xfId="0" applyFont="1" applyFill="1" applyBorder="1"/>
    <xf numFmtId="0" fontId="38" fillId="13" borderId="0" xfId="0" applyFont="1" applyFill="1" applyBorder="1"/>
    <xf numFmtId="167" fontId="26" fillId="14" borderId="0" xfId="0" applyNumberFormat="1" applyFont="1" applyFill="1" applyBorder="1"/>
    <xf numFmtId="167" fontId="38" fillId="15" borderId="0" xfId="0" applyNumberFormat="1" applyFont="1" applyFill="1" applyBorder="1"/>
    <xf numFmtId="0" fontId="0" fillId="15" borderId="0" xfId="0" applyFill="1" applyBorder="1"/>
    <xf numFmtId="167" fontId="0" fillId="3" borderId="8" xfId="0" quotePrefix="1" applyNumberFormat="1" applyFill="1" applyBorder="1"/>
    <xf numFmtId="184" fontId="0" fillId="3" borderId="8" xfId="0" quotePrefix="1" applyNumberFormat="1" applyFill="1" applyBorder="1"/>
    <xf numFmtId="0" fontId="0" fillId="6" borderId="0" xfId="0" applyFill="1" applyBorder="1" applyAlignment="1">
      <alignment horizontal="right"/>
    </xf>
    <xf numFmtId="0" fontId="9" fillId="13" borderId="68" xfId="0" applyFont="1" applyFill="1" applyBorder="1" applyAlignment="1">
      <alignment horizontal="center"/>
    </xf>
    <xf numFmtId="0" fontId="25" fillId="13" borderId="34" xfId="0" applyFont="1" applyFill="1" applyBorder="1" applyAlignment="1">
      <alignment horizontal="center"/>
    </xf>
    <xf numFmtId="14" fontId="9" fillId="6" borderId="28" xfId="0" quotePrefix="1" applyNumberFormat="1" applyFont="1" applyFill="1" applyBorder="1" applyAlignment="1">
      <alignment horizontal="right" vertical="center"/>
    </xf>
    <xf numFmtId="14" fontId="9" fillId="3" borderId="55" xfId="0" quotePrefix="1" applyNumberFormat="1" applyFont="1" applyFill="1" applyBorder="1" applyAlignment="1">
      <alignment horizontal="right"/>
    </xf>
    <xf numFmtId="164" fontId="8" fillId="13" borderId="0" xfId="0" applyNumberFormat="1" applyFont="1" applyFill="1" applyBorder="1"/>
    <xf numFmtId="194" fontId="0" fillId="3" borderId="79" xfId="0" quotePrefix="1" applyNumberFormat="1" applyFill="1" applyBorder="1"/>
    <xf numFmtId="0" fontId="4" fillId="22" borderId="8" xfId="0" applyFont="1" applyFill="1" applyBorder="1" applyAlignment="1">
      <alignment horizontal="center"/>
    </xf>
    <xf numFmtId="164" fontId="4" fillId="22" borderId="8" xfId="0" applyNumberFormat="1" applyFont="1" applyFill="1" applyBorder="1" applyAlignment="1">
      <alignment horizontal="center"/>
    </xf>
    <xf numFmtId="164" fontId="0" fillId="24" borderId="8" xfId="0" applyNumberFormat="1" applyFill="1" applyBorder="1"/>
    <xf numFmtId="165" fontId="37" fillId="24" borderId="8" xfId="0" applyNumberFormat="1" applyFont="1" applyFill="1" applyBorder="1"/>
    <xf numFmtId="164" fontId="37" fillId="24" borderId="8" xfId="0" applyNumberFormat="1" applyFont="1" applyFill="1" applyBorder="1"/>
    <xf numFmtId="164" fontId="8" fillId="24" borderId="8" xfId="0" applyNumberFormat="1" applyFont="1" applyFill="1" applyBorder="1"/>
    <xf numFmtId="164" fontId="0" fillId="24" borderId="2" xfId="0" applyNumberFormat="1" applyFill="1" applyBorder="1"/>
    <xf numFmtId="0" fontId="51" fillId="22" borderId="4" xfId="0" applyFont="1" applyFill="1" applyBorder="1" applyAlignment="1">
      <alignment horizontal="right"/>
    </xf>
    <xf numFmtId="164" fontId="52" fillId="22" borderId="4" xfId="0" applyNumberFormat="1" applyFont="1" applyFill="1" applyBorder="1"/>
    <xf numFmtId="0" fontId="53" fillId="13" borderId="67" xfId="0" applyFont="1" applyFill="1" applyBorder="1"/>
    <xf numFmtId="0" fontId="0" fillId="13" borderId="36" xfId="0" applyFont="1" applyFill="1" applyBorder="1"/>
    <xf numFmtId="0" fontId="41" fillId="13" borderId="0" xfId="0" quotePrefix="1" applyFont="1" applyFill="1" applyBorder="1"/>
    <xf numFmtId="2" fontId="41" fillId="3" borderId="79" xfId="0" applyNumberFormat="1" applyFont="1" applyFill="1" applyBorder="1"/>
    <xf numFmtId="2" fontId="4" fillId="24" borderId="8" xfId="0" applyNumberFormat="1" applyFont="1" applyFill="1" applyBorder="1"/>
    <xf numFmtId="2" fontId="4" fillId="24" borderId="2" xfId="0" applyNumberFormat="1" applyFont="1" applyFill="1" applyBorder="1"/>
    <xf numFmtId="0" fontId="0" fillId="15" borderId="0" xfId="0" applyFill="1"/>
    <xf numFmtId="171" fontId="0" fillId="21" borderId="0" xfId="0" quotePrefix="1" applyNumberFormat="1" applyFill="1" applyBorder="1"/>
    <xf numFmtId="0" fontId="25" fillId="13" borderId="31" xfId="0" applyFont="1" applyFill="1" applyBorder="1" applyAlignment="1">
      <alignment horizontal="center"/>
    </xf>
    <xf numFmtId="186" fontId="0" fillId="6" borderId="79" xfId="2" quotePrefix="1" applyNumberFormat="1" applyFont="1" applyFill="1" applyBorder="1"/>
    <xf numFmtId="177" fontId="1" fillId="3" borderId="4" xfId="0" quotePrefix="1" applyNumberFormat="1" applyFont="1" applyFill="1" applyBorder="1"/>
    <xf numFmtId="0" fontId="49" fillId="13" borderId="75" xfId="0" applyFont="1" applyFill="1" applyBorder="1" applyAlignment="1">
      <alignment horizontal="center"/>
    </xf>
    <xf numFmtId="0" fontId="0" fillId="13" borderId="4" xfId="0" applyFill="1" applyBorder="1"/>
    <xf numFmtId="0" fontId="9" fillId="21" borderId="31" xfId="0" applyFont="1" applyFill="1" applyBorder="1" applyAlignment="1">
      <alignment horizontal="center"/>
    </xf>
    <xf numFmtId="164" fontId="0" fillId="3" borderId="79" xfId="0" applyNumberFormat="1" applyFill="1" applyBorder="1"/>
    <xf numFmtId="193" fontId="0" fillId="3" borderId="87" xfId="0" applyNumberFormat="1" applyFill="1" applyBorder="1"/>
    <xf numFmtId="0" fontId="0" fillId="3" borderId="80" xfId="0" applyFill="1" applyBorder="1"/>
    <xf numFmtId="0" fontId="54" fillId="13" borderId="4" xfId="0" applyFont="1" applyFill="1" applyBorder="1" applyAlignment="1">
      <alignment horizontal="center"/>
    </xf>
    <xf numFmtId="0" fontId="34" fillId="15" borderId="0" xfId="0" applyFont="1" applyFill="1"/>
    <xf numFmtId="0" fontId="0" fillId="25" borderId="8" xfId="0" applyFill="1" applyBorder="1"/>
    <xf numFmtId="14" fontId="4" fillId="19" borderId="8" xfId="0" quotePrefix="1" applyNumberFormat="1" applyFont="1" applyFill="1" applyBorder="1" applyProtection="1">
      <protection locked="0"/>
    </xf>
    <xf numFmtId="0" fontId="0" fillId="19" borderId="8" xfId="0" applyFill="1" applyBorder="1"/>
    <xf numFmtId="14" fontId="0" fillId="19" borderId="8" xfId="0" applyNumberFormat="1" applyFill="1" applyBorder="1"/>
    <xf numFmtId="0" fontId="0" fillId="19" borderId="8" xfId="0" quotePrefix="1" applyFill="1" applyBorder="1"/>
    <xf numFmtId="0" fontId="0" fillId="23" borderId="8" xfId="0" applyFill="1" applyBorder="1" applyAlignment="1">
      <alignment horizontal="center"/>
    </xf>
    <xf numFmtId="0" fontId="0" fillId="8" borderId="8" xfId="0" applyFill="1" applyBorder="1"/>
    <xf numFmtId="14" fontId="0" fillId="8" borderId="8" xfId="0" applyNumberFormat="1" applyFill="1" applyBorder="1"/>
    <xf numFmtId="0" fontId="4" fillId="24" borderId="8" xfId="0" applyFont="1" applyFill="1" applyBorder="1"/>
    <xf numFmtId="14" fontId="4" fillId="24" borderId="8" xfId="0" quotePrefix="1" applyNumberFormat="1" applyFont="1" applyFill="1" applyBorder="1" applyProtection="1">
      <protection locked="0"/>
    </xf>
    <xf numFmtId="189" fontId="4" fillId="24" borderId="8" xfId="0" applyNumberFormat="1" applyFont="1" applyFill="1" applyBorder="1"/>
    <xf numFmtId="178" fontId="4" fillId="24" borderId="8" xfId="0" applyNumberFormat="1" applyFont="1" applyFill="1" applyBorder="1"/>
    <xf numFmtId="14" fontId="0" fillId="24" borderId="8" xfId="0" applyNumberFormat="1" applyFill="1" applyBorder="1"/>
    <xf numFmtId="14" fontId="4" fillId="24" borderId="4" xfId="0" quotePrefix="1" applyNumberFormat="1" applyFont="1" applyFill="1" applyBorder="1" applyProtection="1">
      <protection locked="0"/>
    </xf>
    <xf numFmtId="0" fontId="4" fillId="9" borderId="0" xfId="0" applyFont="1" applyFill="1" applyBorder="1"/>
    <xf numFmtId="0" fontId="4" fillId="23" borderId="0" xfId="0" applyFont="1" applyFill="1" applyBorder="1"/>
    <xf numFmtId="0" fontId="4" fillId="19" borderId="0" xfId="0" applyFont="1" applyFill="1" applyBorder="1"/>
    <xf numFmtId="0" fontId="4" fillId="24" borderId="4" xfId="0" applyFont="1" applyFill="1" applyBorder="1"/>
    <xf numFmtId="14" fontId="4" fillId="8" borderId="4" xfId="0" quotePrefix="1" applyNumberFormat="1" applyFont="1" applyFill="1" applyBorder="1" applyProtection="1">
      <protection locked="0"/>
    </xf>
    <xf numFmtId="0" fontId="0" fillId="8" borderId="2" xfId="0" applyFill="1" applyBorder="1"/>
    <xf numFmtId="14" fontId="0" fillId="8" borderId="2" xfId="0" applyNumberFormat="1" applyFill="1" applyBorder="1"/>
    <xf numFmtId="0" fontId="0" fillId="18" borderId="4" xfId="0" quotePrefix="1" applyFill="1" applyBorder="1"/>
    <xf numFmtId="0" fontId="0" fillId="18" borderId="8" xfId="0" quotePrefix="1" applyFill="1" applyBorder="1"/>
    <xf numFmtId="0" fontId="0" fillId="18" borderId="2" xfId="0" applyFill="1" applyBorder="1"/>
    <xf numFmtId="0" fontId="4" fillId="19" borderId="79" xfId="0" applyFont="1" applyFill="1" applyBorder="1" applyAlignment="1">
      <alignment horizontal="left"/>
    </xf>
    <xf numFmtId="0" fontId="4" fillId="19" borderId="80" xfId="0" applyFont="1" applyFill="1" applyBorder="1" applyAlignment="1" applyProtection="1">
      <alignment horizontal="center"/>
      <protection locked="0"/>
    </xf>
    <xf numFmtId="0" fontId="4" fillId="22" borderId="0" xfId="0" applyFont="1" applyFill="1" applyBorder="1" applyAlignment="1">
      <alignment horizontal="center"/>
    </xf>
    <xf numFmtId="0" fontId="4" fillId="25" borderId="0" xfId="0" applyFont="1" applyFill="1" applyBorder="1"/>
    <xf numFmtId="14" fontId="4" fillId="24" borderId="8" xfId="0" quotePrefix="1" applyNumberFormat="1" applyFont="1" applyFill="1" applyBorder="1" applyAlignment="1" applyProtection="1">
      <alignment horizontal="right"/>
      <protection locked="0"/>
    </xf>
    <xf numFmtId="2" fontId="51" fillId="22" borderId="4" xfId="0" applyNumberFormat="1" applyFont="1" applyFill="1" applyBorder="1" applyAlignment="1">
      <alignment horizontal="right"/>
    </xf>
    <xf numFmtId="2" fontId="41" fillId="3" borderId="88" xfId="0" applyNumberFormat="1" applyFont="1" applyFill="1" applyBorder="1"/>
    <xf numFmtId="2" fontId="31" fillId="0" borderId="0" xfId="0" applyNumberFormat="1" applyFont="1" applyFill="1" applyBorder="1"/>
    <xf numFmtId="185" fontId="51" fillId="22" borderId="4" xfId="0" applyNumberFormat="1" applyFont="1" applyFill="1" applyBorder="1" applyAlignment="1">
      <alignment horizontal="right"/>
    </xf>
    <xf numFmtId="167" fontId="26" fillId="0" borderId="29" xfId="0" applyNumberFormat="1" applyFont="1" applyFill="1" applyBorder="1"/>
    <xf numFmtId="167" fontId="26" fillId="0" borderId="47" xfId="0" applyNumberFormat="1" applyFont="1" applyFill="1" applyBorder="1"/>
    <xf numFmtId="0" fontId="38" fillId="0" borderId="26" xfId="0" applyFont="1" applyFill="1" applyBorder="1"/>
    <xf numFmtId="0" fontId="9" fillId="3" borderId="71" xfId="0" applyFont="1" applyFill="1" applyBorder="1" applyAlignment="1" applyProtection="1">
      <alignment horizontal="center"/>
    </xf>
    <xf numFmtId="14" fontId="9" fillId="3" borderId="72" xfId="0" quotePrefix="1" applyNumberFormat="1" applyFont="1" applyFill="1" applyBorder="1" applyProtection="1"/>
    <xf numFmtId="0" fontId="9" fillId="3" borderId="55" xfId="0" applyFont="1" applyFill="1" applyBorder="1" applyAlignment="1" applyProtection="1">
      <alignment horizontal="center"/>
    </xf>
    <xf numFmtId="0" fontId="9" fillId="3" borderId="57" xfId="0" applyFont="1" applyFill="1" applyBorder="1" applyAlignment="1" applyProtection="1">
      <alignment horizontal="center"/>
    </xf>
    <xf numFmtId="14" fontId="9" fillId="3" borderId="58" xfId="0" quotePrefix="1" applyNumberFormat="1" applyFont="1" applyFill="1" applyBorder="1" applyAlignment="1" applyProtection="1">
      <alignment horizontal="right" vertical="center"/>
    </xf>
    <xf numFmtId="0" fontId="9" fillId="3" borderId="89" xfId="0" applyFont="1" applyFill="1" applyBorder="1" applyAlignment="1" applyProtection="1">
      <alignment horizontal="center"/>
    </xf>
    <xf numFmtId="14" fontId="9" fillId="3" borderId="90" xfId="0" quotePrefix="1" applyNumberFormat="1" applyFont="1" applyFill="1" applyBorder="1" applyProtection="1"/>
    <xf numFmtId="0" fontId="0" fillId="5" borderId="93" xfId="0" applyFont="1" applyFill="1" applyBorder="1"/>
    <xf numFmtId="0" fontId="0" fillId="5" borderId="94" xfId="0" applyFont="1" applyFill="1" applyBorder="1"/>
    <xf numFmtId="14" fontId="0" fillId="5" borderId="95" xfId="0" applyNumberFormat="1" applyFont="1" applyFill="1" applyBorder="1"/>
    <xf numFmtId="167" fontId="9" fillId="19" borderId="71" xfId="0" quotePrefix="1" applyNumberFormat="1" applyFont="1" applyFill="1" applyBorder="1" applyProtection="1"/>
    <xf numFmtId="167" fontId="0" fillId="19" borderId="0" xfId="0" applyNumberFormat="1" applyFill="1" applyBorder="1"/>
    <xf numFmtId="0" fontId="26" fillId="19" borderId="29" xfId="0" applyFont="1" applyFill="1" applyBorder="1"/>
    <xf numFmtId="167" fontId="9" fillId="9" borderId="71" xfId="0" quotePrefix="1" applyNumberFormat="1" applyFont="1" applyFill="1" applyBorder="1" applyProtection="1"/>
    <xf numFmtId="167" fontId="0" fillId="9" borderId="0" xfId="0" applyNumberFormat="1" applyFill="1" applyBorder="1"/>
    <xf numFmtId="0" fontId="0" fillId="9" borderId="29" xfId="0" applyFill="1" applyBorder="1"/>
    <xf numFmtId="167" fontId="9" fillId="23" borderId="71" xfId="0" quotePrefix="1" applyNumberFormat="1" applyFont="1" applyFill="1" applyBorder="1" applyProtection="1"/>
    <xf numFmtId="167" fontId="0" fillId="23" borderId="0" xfId="0" applyNumberFormat="1" applyFill="1" applyBorder="1"/>
    <xf numFmtId="0" fontId="26" fillId="23" borderId="29" xfId="0" applyFont="1" applyFill="1" applyBorder="1"/>
    <xf numFmtId="167" fontId="9" fillId="17" borderId="71" xfId="0" quotePrefix="1" applyNumberFormat="1" applyFont="1" applyFill="1" applyBorder="1" applyProtection="1"/>
    <xf numFmtId="0" fontId="9" fillId="6" borderId="71" xfId="0" applyFont="1" applyFill="1" applyBorder="1" applyAlignment="1" applyProtection="1">
      <alignment horizontal="center"/>
    </xf>
    <xf numFmtId="14" fontId="9" fillId="6" borderId="72" xfId="0" quotePrefix="1" applyNumberFormat="1" applyFont="1" applyFill="1" applyBorder="1" applyProtection="1"/>
    <xf numFmtId="167" fontId="9" fillId="15" borderId="71" xfId="0" quotePrefix="1" applyNumberFormat="1" applyFont="1" applyFill="1" applyBorder="1" applyProtection="1"/>
    <xf numFmtId="167" fontId="9" fillId="15" borderId="55" xfId="0" quotePrefix="1" applyNumberFormat="1" applyFont="1" applyFill="1" applyBorder="1" applyProtection="1"/>
    <xf numFmtId="167" fontId="9" fillId="15" borderId="57" xfId="0" quotePrefix="1" applyNumberFormat="1" applyFont="1" applyFill="1" applyBorder="1" applyProtection="1"/>
    <xf numFmtId="167" fontId="9" fillId="17" borderId="55" xfId="0" quotePrefix="1" applyNumberFormat="1" applyFont="1" applyFill="1" applyBorder="1" applyProtection="1"/>
    <xf numFmtId="167" fontId="9" fillId="17" borderId="57" xfId="0" quotePrefix="1" applyNumberFormat="1" applyFont="1" applyFill="1" applyBorder="1" applyProtection="1"/>
    <xf numFmtId="167" fontId="9" fillId="21" borderId="71" xfId="0" quotePrefix="1" applyNumberFormat="1" applyFont="1" applyFill="1" applyBorder="1" applyProtection="1"/>
    <xf numFmtId="167" fontId="9" fillId="21" borderId="55" xfId="0" quotePrefix="1" applyNumberFormat="1" applyFont="1" applyFill="1" applyBorder="1" applyProtection="1"/>
    <xf numFmtId="167" fontId="9" fillId="21" borderId="57" xfId="0" quotePrefix="1" applyNumberFormat="1" applyFont="1" applyFill="1" applyBorder="1" applyProtection="1"/>
    <xf numFmtId="167" fontId="9" fillId="8" borderId="71" xfId="0" quotePrefix="1" applyNumberFormat="1" applyFont="1" applyFill="1" applyBorder="1" applyProtection="1"/>
    <xf numFmtId="167" fontId="0" fillId="8" borderId="0" xfId="0" applyNumberFormat="1" applyFill="1" applyBorder="1"/>
    <xf numFmtId="167" fontId="9" fillId="26" borderId="71" xfId="0" quotePrefix="1" applyNumberFormat="1" applyFont="1" applyFill="1" applyBorder="1" applyProtection="1"/>
    <xf numFmtId="167" fontId="9" fillId="26" borderId="55" xfId="0" quotePrefix="1" applyNumberFormat="1" applyFont="1" applyFill="1" applyBorder="1" applyProtection="1"/>
    <xf numFmtId="167" fontId="9" fillId="26" borderId="57" xfId="0" quotePrefix="1" applyNumberFormat="1" applyFont="1" applyFill="1" applyBorder="1" applyProtection="1"/>
    <xf numFmtId="167" fontId="13" fillId="19" borderId="89" xfId="0" quotePrefix="1" applyNumberFormat="1" applyFont="1" applyFill="1" applyBorder="1" applyProtection="1"/>
    <xf numFmtId="0" fontId="34" fillId="19" borderId="48" xfId="0" applyFont="1" applyFill="1" applyBorder="1"/>
    <xf numFmtId="0" fontId="34" fillId="19" borderId="91" xfId="0" applyFont="1" applyFill="1" applyBorder="1"/>
    <xf numFmtId="0" fontId="34" fillId="23" borderId="92" xfId="0" applyFont="1" applyFill="1" applyBorder="1"/>
    <xf numFmtId="0" fontId="34" fillId="23" borderId="48" xfId="0" applyFont="1" applyFill="1" applyBorder="1"/>
    <xf numFmtId="0" fontId="34" fillId="23" borderId="91" xfId="0" applyFont="1" applyFill="1" applyBorder="1"/>
    <xf numFmtId="0" fontId="34" fillId="9" borderId="91" xfId="0" applyFont="1" applyFill="1" applyBorder="1"/>
    <xf numFmtId="0" fontId="34" fillId="8" borderId="92" xfId="0" applyFont="1" applyFill="1" applyBorder="1"/>
    <xf numFmtId="0" fontId="34" fillId="9" borderId="92" xfId="0" applyFont="1" applyFill="1" applyBorder="1"/>
    <xf numFmtId="0" fontId="34" fillId="9" borderId="48" xfId="0" applyFont="1" applyFill="1" applyBorder="1"/>
    <xf numFmtId="0" fontId="34" fillId="8" borderId="48" xfId="0" applyFont="1" applyFill="1" applyBorder="1"/>
    <xf numFmtId="167" fontId="4" fillId="23" borderId="0" xfId="0" applyNumberFormat="1" applyFont="1" applyFill="1" applyBorder="1"/>
    <xf numFmtId="167" fontId="4" fillId="9" borderId="0" xfId="0" applyNumberFormat="1" applyFont="1" applyFill="1" applyBorder="1"/>
    <xf numFmtId="167" fontId="4" fillId="19" borderId="0" xfId="0" applyNumberFormat="1" applyFont="1" applyFill="1" applyBorder="1"/>
    <xf numFmtId="0" fontId="4" fillId="8" borderId="0" xfId="0" applyFont="1" applyFill="1" applyBorder="1"/>
    <xf numFmtId="167" fontId="4" fillId="8" borderId="0" xfId="0" applyNumberFormat="1" applyFont="1" applyFill="1" applyBorder="1"/>
    <xf numFmtId="0" fontId="15" fillId="6" borderId="71" xfId="0" applyFont="1" applyFill="1" applyBorder="1" applyAlignment="1" applyProtection="1">
      <alignment horizontal="center"/>
    </xf>
    <xf numFmtId="0" fontId="0" fillId="20" borderId="0" xfId="0" applyFont="1" applyFill="1" applyBorder="1"/>
    <xf numFmtId="197" fontId="55" fillId="16" borderId="8" xfId="0" applyNumberFormat="1" applyFont="1" applyFill="1" applyBorder="1"/>
    <xf numFmtId="0" fontId="15" fillId="26" borderId="71" xfId="0" applyFont="1" applyFill="1" applyBorder="1" applyAlignment="1" applyProtection="1">
      <alignment horizontal="center"/>
    </xf>
    <xf numFmtId="0" fontId="0" fillId="26" borderId="0" xfId="0" applyFont="1" applyFill="1" applyBorder="1"/>
    <xf numFmtId="201" fontId="50" fillId="8" borderId="8" xfId="0" applyNumberFormat="1" applyFont="1" applyFill="1" applyBorder="1"/>
    <xf numFmtId="171" fontId="15" fillId="8" borderId="71" xfId="0" applyNumberFormat="1" applyFont="1" applyFill="1" applyBorder="1" applyAlignment="1" applyProtection="1">
      <alignment horizontal="center"/>
    </xf>
    <xf numFmtId="0" fontId="15" fillId="3" borderId="71" xfId="0" applyFont="1" applyFill="1" applyBorder="1" applyAlignment="1" applyProtection="1">
      <alignment horizontal="center"/>
    </xf>
    <xf numFmtId="0" fontId="15" fillId="3" borderId="55" xfId="0" applyFont="1" applyFill="1" applyBorder="1" applyAlignment="1" applyProtection="1">
      <alignment horizontal="center"/>
    </xf>
    <xf numFmtId="0" fontId="15" fillId="3" borderId="57" xfId="0" applyFont="1" applyFill="1" applyBorder="1" applyAlignment="1" applyProtection="1">
      <alignment horizontal="center"/>
    </xf>
    <xf numFmtId="202" fontId="25" fillId="4" borderId="0" xfId="0" applyNumberFormat="1" applyFont="1" applyFill="1" applyProtection="1"/>
    <xf numFmtId="171" fontId="4" fillId="3" borderId="8" xfId="0" quotePrefix="1" applyNumberFormat="1" applyFont="1" applyFill="1" applyBorder="1"/>
    <xf numFmtId="171" fontId="4" fillId="3" borderId="8" xfId="0" quotePrefix="1" applyNumberFormat="1" applyFont="1" applyFill="1" applyBorder="1" applyAlignment="1">
      <alignment horizontal="right"/>
    </xf>
    <xf numFmtId="0" fontId="49" fillId="13" borderId="75" xfId="0" applyFont="1" applyFill="1" applyBorder="1" applyAlignment="1">
      <alignment horizontal="center" wrapText="1"/>
    </xf>
    <xf numFmtId="0" fontId="27" fillId="13" borderId="4" xfId="0" applyFont="1" applyFill="1" applyBorder="1"/>
    <xf numFmtId="171" fontId="4" fillId="8" borderId="22" xfId="0" applyNumberFormat="1" applyFont="1" applyFill="1" applyBorder="1"/>
    <xf numFmtId="171" fontId="4" fillId="8" borderId="23" xfId="0" applyNumberFormat="1" applyFont="1" applyFill="1" applyBorder="1"/>
    <xf numFmtId="201" fontId="50" fillId="8" borderId="75" xfId="0" applyNumberFormat="1" applyFont="1" applyFill="1" applyBorder="1"/>
    <xf numFmtId="1" fontId="0" fillId="26" borderId="22" xfId="0" applyNumberFormat="1" applyFont="1" applyFill="1" applyBorder="1"/>
    <xf numFmtId="171" fontId="4" fillId="20" borderId="40" xfId="0" applyNumberFormat="1" applyFont="1" applyFill="1" applyBorder="1"/>
    <xf numFmtId="171" fontId="4" fillId="20" borderId="58" xfId="0" applyNumberFormat="1" applyFont="1" applyFill="1" applyBorder="1"/>
    <xf numFmtId="171" fontId="4" fillId="20" borderId="37" xfId="0" applyNumberFormat="1" applyFont="1" applyFill="1" applyBorder="1"/>
    <xf numFmtId="171" fontId="15" fillId="8" borderId="96" xfId="0" applyNumberFormat="1" applyFont="1" applyFill="1" applyBorder="1" applyAlignment="1" applyProtection="1">
      <alignment horizontal="center"/>
    </xf>
    <xf numFmtId="203" fontId="15" fillId="26" borderId="69" xfId="0" applyNumberFormat="1" applyFont="1" applyFill="1" applyBorder="1" applyAlignment="1" applyProtection="1">
      <alignment horizontal="center"/>
    </xf>
    <xf numFmtId="171" fontId="0" fillId="8" borderId="56" xfId="0" applyNumberFormat="1" applyFont="1" applyFill="1" applyBorder="1"/>
    <xf numFmtId="171" fontId="4" fillId="8" borderId="55" xfId="0" quotePrefix="1" applyNumberFormat="1" applyFont="1" applyFill="1" applyBorder="1" applyAlignment="1">
      <alignment horizontal="center"/>
    </xf>
    <xf numFmtId="0" fontId="4" fillId="20" borderId="57" xfId="0" applyFont="1" applyFill="1" applyBorder="1" applyAlignment="1">
      <alignment horizontal="center"/>
    </xf>
    <xf numFmtId="0" fontId="15" fillId="26" borderId="68" xfId="0" applyFont="1" applyFill="1" applyBorder="1" applyAlignment="1" applyProtection="1">
      <alignment horizontal="center" wrapText="1"/>
    </xf>
    <xf numFmtId="0" fontId="8" fillId="0" borderId="0" xfId="0" applyFont="1" applyFill="1" applyBorder="1"/>
    <xf numFmtId="1" fontId="54" fillId="3" borderId="4" xfId="0" quotePrefix="1" applyNumberFormat="1" applyFont="1" applyFill="1" applyBorder="1"/>
    <xf numFmtId="1" fontId="54" fillId="3" borderId="8" xfId="0" quotePrefix="1" applyNumberFormat="1" applyFont="1" applyFill="1" applyBorder="1"/>
    <xf numFmtId="201" fontId="0" fillId="9" borderId="14" xfId="0" quotePrefix="1" applyNumberFormat="1" applyFill="1" applyBorder="1" applyProtection="1"/>
    <xf numFmtId="42" fontId="38" fillId="8" borderId="24" xfId="0" quotePrefix="1" applyNumberFormat="1" applyFont="1" applyFill="1" applyBorder="1" applyProtection="1"/>
    <xf numFmtId="42" fontId="38" fillId="9" borderId="0" xfId="0" quotePrefix="1" applyNumberFormat="1" applyFont="1" applyFill="1" applyBorder="1" applyProtection="1"/>
    <xf numFmtId="42" fontId="0" fillId="9" borderId="14" xfId="0" quotePrefix="1" applyNumberFormat="1" applyFill="1" applyBorder="1" applyProtection="1"/>
    <xf numFmtId="0" fontId="15" fillId="3" borderId="0" xfId="0" applyFont="1" applyFill="1" applyBorder="1" applyAlignment="1" applyProtection="1">
      <alignment horizontal="right"/>
    </xf>
    <xf numFmtId="0" fontId="9" fillId="6" borderId="75" xfId="0" applyFont="1" applyFill="1" applyBorder="1" applyProtection="1"/>
    <xf numFmtId="0" fontId="15" fillId="3" borderId="0" xfId="0" applyFont="1" applyFill="1" applyBorder="1" applyAlignment="1" applyProtection="1">
      <alignment horizontal="left"/>
    </xf>
    <xf numFmtId="188" fontId="15" fillId="3" borderId="0" xfId="0" quotePrefix="1" applyNumberFormat="1" applyFont="1" applyFill="1" applyBorder="1" applyAlignment="1" applyProtection="1">
      <alignment horizontal="right"/>
    </xf>
    <xf numFmtId="0" fontId="57" fillId="7" borderId="7" xfId="0" applyFont="1" applyFill="1" applyBorder="1" applyProtection="1">
      <protection locked="0"/>
    </xf>
    <xf numFmtId="0" fontId="58" fillId="3" borderId="0" xfId="0" applyFont="1" applyFill="1" applyAlignment="1" applyProtection="1"/>
    <xf numFmtId="197" fontId="31" fillId="0" borderId="0" xfId="0" applyNumberFormat="1" applyFont="1" applyFill="1" applyBorder="1"/>
    <xf numFmtId="204" fontId="15" fillId="26" borderId="69" xfId="0" applyNumberFormat="1" applyFont="1" applyFill="1" applyBorder="1" applyAlignment="1" applyProtection="1">
      <alignment horizontal="center"/>
    </xf>
    <xf numFmtId="0" fontId="4" fillId="8" borderId="12" xfId="0" applyFont="1" applyFill="1" applyBorder="1" applyProtection="1"/>
    <xf numFmtId="0" fontId="4" fillId="9" borderId="21" xfId="0" applyFont="1" applyFill="1" applyBorder="1" applyAlignment="1" applyProtection="1"/>
    <xf numFmtId="0" fontId="4" fillId="3" borderId="21" xfId="0" applyFont="1" applyFill="1" applyBorder="1" applyProtection="1"/>
    <xf numFmtId="174" fontId="16" fillId="3" borderId="28" xfId="0" quotePrefix="1" applyNumberFormat="1" applyFont="1" applyFill="1" applyBorder="1" applyAlignment="1" applyProtection="1">
      <alignment horizontal="left"/>
    </xf>
    <xf numFmtId="0" fontId="16" fillId="3" borderId="28" xfId="0" applyFont="1" applyFill="1" applyBorder="1" applyProtection="1"/>
    <xf numFmtId="0" fontId="16" fillId="3" borderId="28" xfId="0" quotePrefix="1" applyFont="1" applyFill="1" applyBorder="1" applyProtection="1"/>
    <xf numFmtId="0" fontId="16" fillId="3" borderId="25" xfId="0" applyFont="1" applyFill="1" applyBorder="1" applyProtection="1"/>
    <xf numFmtId="167" fontId="0" fillId="3" borderId="0" xfId="0" applyNumberFormat="1" applyFill="1" applyProtection="1"/>
    <xf numFmtId="205" fontId="49" fillId="9" borderId="25" xfId="0" applyNumberFormat="1" applyFont="1" applyFill="1" applyBorder="1" applyAlignment="1" applyProtection="1">
      <alignment horizontal="right"/>
    </xf>
    <xf numFmtId="206" fontId="56" fillId="9" borderId="0" xfId="0" applyNumberFormat="1" applyFont="1" applyFill="1" applyBorder="1" applyAlignment="1" applyProtection="1">
      <alignment horizontal="center"/>
    </xf>
    <xf numFmtId="167" fontId="42" fillId="3" borderId="79" xfId="0" quotePrefix="1" applyNumberFormat="1" applyFont="1" applyFill="1" applyBorder="1" applyProtection="1"/>
    <xf numFmtId="192" fontId="49" fillId="8" borderId="13" xfId="0" quotePrefix="1" applyNumberFormat="1" applyFont="1" applyFill="1" applyBorder="1" applyAlignment="1" applyProtection="1">
      <alignment horizontal="center"/>
    </xf>
    <xf numFmtId="198" fontId="49" fillId="3" borderId="23" xfId="0" applyNumberFormat="1" applyFont="1" applyFill="1" applyBorder="1" applyAlignment="1" applyProtection="1">
      <alignment horizontal="right"/>
    </xf>
    <xf numFmtId="198" fontId="49" fillId="3" borderId="29" xfId="0" quotePrefix="1" applyNumberFormat="1" applyFont="1" applyFill="1" applyBorder="1" applyAlignment="1" applyProtection="1">
      <alignment horizontal="right"/>
    </xf>
    <xf numFmtId="198" fontId="49" fillId="3" borderId="47" xfId="0" quotePrefix="1" applyNumberFormat="1" applyFont="1" applyFill="1" applyBorder="1" applyAlignment="1" applyProtection="1">
      <alignment horizontal="right"/>
    </xf>
    <xf numFmtId="185" fontId="0" fillId="8" borderId="56" xfId="0" applyNumberFormat="1" applyFont="1" applyFill="1" applyBorder="1"/>
    <xf numFmtId="194" fontId="15" fillId="8" borderId="71" xfId="0" applyNumberFormat="1" applyFont="1" applyFill="1" applyBorder="1" applyAlignment="1" applyProtection="1">
      <alignment horizontal="center"/>
    </xf>
    <xf numFmtId="194" fontId="4" fillId="3" borderId="8" xfId="0" quotePrefix="1" applyNumberFormat="1" applyFont="1" applyFill="1" applyBorder="1"/>
    <xf numFmtId="194" fontId="4" fillId="3" borderId="8" xfId="0" quotePrefix="1" applyNumberFormat="1" applyFont="1" applyFill="1" applyBorder="1" applyAlignment="1">
      <alignment horizontal="right"/>
    </xf>
    <xf numFmtId="0" fontId="0" fillId="3" borderId="0" xfId="0" applyFill="1" applyBorder="1"/>
    <xf numFmtId="42" fontId="15" fillId="3" borderId="10" xfId="0" quotePrefix="1" applyNumberFormat="1" applyFont="1" applyFill="1" applyBorder="1" applyProtection="1"/>
    <xf numFmtId="42" fontId="15" fillId="3" borderId="11" xfId="0" quotePrefix="1" applyNumberFormat="1" applyFont="1" applyFill="1" applyBorder="1" applyProtection="1"/>
    <xf numFmtId="0" fontId="9" fillId="6" borderId="8" xfId="0" applyFont="1" applyFill="1" applyBorder="1" applyAlignment="1" applyProtection="1">
      <alignment horizontal="left"/>
    </xf>
    <xf numFmtId="0" fontId="9" fillId="6" borderId="75" xfId="0" applyFont="1" applyFill="1" applyBorder="1" applyAlignment="1" applyProtection="1">
      <alignment horizontal="left"/>
    </xf>
    <xf numFmtId="207" fontId="59" fillId="9" borderId="23" xfId="0" applyNumberFormat="1" applyFont="1" applyFill="1" applyBorder="1" applyAlignment="1" applyProtection="1"/>
    <xf numFmtId="14" fontId="60" fillId="13" borderId="0" xfId="0" applyNumberFormat="1" applyFont="1" applyFill="1" applyBorder="1"/>
    <xf numFmtId="14" fontId="61" fillId="5" borderId="95" xfId="0" applyNumberFormat="1" applyFont="1" applyFill="1" applyBorder="1"/>
    <xf numFmtId="0" fontId="4" fillId="3" borderId="0" xfId="0" applyFont="1" applyFill="1" applyProtection="1"/>
    <xf numFmtId="44" fontId="4" fillId="3" borderId="3" xfId="0" quotePrefix="1" applyNumberFormat="1" applyFont="1" applyFill="1" applyBorder="1" applyProtection="1"/>
    <xf numFmtId="0" fontId="34" fillId="4" borderId="12" xfId="0" applyFont="1" applyFill="1" applyBorder="1" applyAlignment="1" applyProtection="1">
      <alignment horizontal="left" vertical="center"/>
    </xf>
    <xf numFmtId="208" fontId="4" fillId="7" borderId="0" xfId="0" applyNumberFormat="1" applyFont="1" applyFill="1" applyBorder="1" applyProtection="1"/>
    <xf numFmtId="173" fontId="45" fillId="3" borderId="10" xfId="0" quotePrefix="1" applyNumberFormat="1" applyFont="1" applyFill="1" applyBorder="1" applyProtection="1"/>
    <xf numFmtId="173" fontId="4" fillId="3" borderId="10" xfId="0" quotePrefix="1" applyNumberFormat="1" applyFont="1" applyFill="1" applyBorder="1" applyProtection="1"/>
    <xf numFmtId="173" fontId="45" fillId="3" borderId="3" xfId="0" quotePrefix="1" applyNumberFormat="1" applyFont="1" applyFill="1" applyBorder="1" applyProtection="1"/>
    <xf numFmtId="173" fontId="4" fillId="3" borderId="3" xfId="0" quotePrefix="1" applyNumberFormat="1" applyFont="1" applyFill="1" applyBorder="1" applyProtection="1"/>
    <xf numFmtId="179" fontId="4" fillId="0" borderId="0" xfId="2" applyNumberFormat="1" applyFont="1" applyFill="1" applyBorder="1" applyAlignment="1">
      <alignment horizontal="right"/>
    </xf>
    <xf numFmtId="184" fontId="70" fillId="3" borderId="8" xfId="0" quotePrefix="1" applyNumberFormat="1" applyFont="1" applyFill="1" applyBorder="1"/>
    <xf numFmtId="184" fontId="54" fillId="3" borderId="8" xfId="0" quotePrefix="1" applyNumberFormat="1" applyFont="1" applyFill="1" applyBorder="1"/>
    <xf numFmtId="209" fontId="49" fillId="9" borderId="26" xfId="0" quotePrefix="1" applyNumberFormat="1" applyFont="1" applyFill="1" applyBorder="1" applyAlignment="1" applyProtection="1">
      <alignment horizontal="right"/>
    </xf>
    <xf numFmtId="171" fontId="4" fillId="21" borderId="0" xfId="0" quotePrefix="1" applyNumberFormat="1" applyFont="1" applyFill="1" applyBorder="1"/>
    <xf numFmtId="0" fontId="71" fillId="3" borderId="0" xfId="0" applyFont="1" applyFill="1"/>
    <xf numFmtId="0" fontId="71" fillId="0" borderId="0" xfId="0" applyFont="1" applyFill="1" applyProtection="1">
      <protection locked="0"/>
    </xf>
    <xf numFmtId="164" fontId="71" fillId="24" borderId="8" xfId="0" applyNumberFormat="1" applyFont="1" applyFill="1" applyBorder="1"/>
    <xf numFmtId="164" fontId="69" fillId="22" borderId="8" xfId="0" applyNumberFormat="1" applyFont="1" applyFill="1" applyBorder="1" applyAlignment="1">
      <alignment horizontal="center"/>
    </xf>
    <xf numFmtId="164" fontId="71" fillId="24" borderId="2" xfId="0" applyNumberFormat="1" applyFont="1" applyFill="1" applyBorder="1"/>
    <xf numFmtId="173" fontId="69" fillId="0" borderId="0" xfId="0" applyNumberFormat="1" applyFont="1" applyFill="1" applyBorder="1" applyAlignment="1">
      <alignment horizontal="right"/>
    </xf>
    <xf numFmtId="173" fontId="71" fillId="0" borderId="0" xfId="0" applyNumberFormat="1" applyFont="1" applyFill="1" applyBorder="1"/>
    <xf numFmtId="0" fontId="71" fillId="0" borderId="0" xfId="0" applyFont="1" applyFill="1" applyBorder="1"/>
    <xf numFmtId="0" fontId="51" fillId="8" borderId="91" xfId="0" applyFont="1" applyFill="1" applyBorder="1"/>
    <xf numFmtId="0" fontId="71" fillId="5" borderId="94" xfId="0" applyFont="1" applyFill="1" applyBorder="1"/>
    <xf numFmtId="0" fontId="71" fillId="8" borderId="29" xfId="0" applyFont="1" applyFill="1" applyBorder="1"/>
    <xf numFmtId="167" fontId="71" fillId="0" borderId="29" xfId="0" applyNumberFormat="1" applyFont="1" applyFill="1" applyBorder="1"/>
    <xf numFmtId="167" fontId="71" fillId="0" borderId="47" xfId="0" applyNumberFormat="1" applyFont="1" applyFill="1" applyBorder="1"/>
    <xf numFmtId="0" fontId="71" fillId="8" borderId="0" xfId="0" applyFont="1" applyFill="1" applyBorder="1"/>
    <xf numFmtId="0" fontId="71" fillId="0" borderId="0" xfId="0" applyFont="1" applyFill="1"/>
    <xf numFmtId="0" fontId="71" fillId="26" borderId="0" xfId="0" applyFont="1" applyFill="1" applyBorder="1"/>
    <xf numFmtId="201" fontId="51" fillId="8" borderId="8" xfId="0" applyNumberFormat="1" applyFont="1" applyFill="1" applyBorder="1"/>
    <xf numFmtId="1" fontId="71" fillId="26" borderId="22" xfId="0" applyNumberFormat="1" applyFont="1" applyFill="1" applyBorder="1"/>
    <xf numFmtId="171" fontId="69" fillId="8" borderId="22" xfId="0" applyNumberFormat="1" applyFont="1" applyFill="1" applyBorder="1"/>
    <xf numFmtId="171" fontId="69" fillId="20" borderId="37" xfId="0" applyNumberFormat="1" applyFont="1" applyFill="1" applyBorder="1"/>
    <xf numFmtId="164" fontId="4" fillId="7" borderId="10" xfId="0" applyNumberFormat="1" applyFont="1" applyFill="1" applyBorder="1" applyProtection="1"/>
    <xf numFmtId="165" fontId="0" fillId="7" borderId="10" xfId="0" applyNumberFormat="1" applyFont="1" applyFill="1" applyBorder="1" applyProtection="1"/>
    <xf numFmtId="165" fontId="4" fillId="7" borderId="10" xfId="0" applyNumberFormat="1" applyFont="1" applyFill="1" applyBorder="1" applyProtection="1"/>
    <xf numFmtId="0" fontId="0" fillId="7" borderId="0" xfId="0" applyFont="1" applyFill="1" applyProtection="1"/>
    <xf numFmtId="165" fontId="4" fillId="7" borderId="77" xfId="0" applyNumberFormat="1" applyFont="1" applyFill="1" applyBorder="1" applyProtection="1"/>
    <xf numFmtId="192" fontId="0" fillId="7" borderId="10" xfId="0" applyNumberFormat="1" applyFont="1" applyFill="1" applyBorder="1" applyProtection="1"/>
    <xf numFmtId="198" fontId="0" fillId="7" borderId="10" xfId="0" applyNumberFormat="1" applyFont="1" applyFill="1" applyBorder="1" applyProtection="1"/>
    <xf numFmtId="199" fontId="4" fillId="7" borderId="10" xfId="0" applyNumberFormat="1" applyFont="1" applyFill="1" applyBorder="1" applyProtection="1"/>
    <xf numFmtId="165" fontId="0" fillId="7" borderId="78" xfId="0" applyNumberFormat="1" applyFont="1" applyFill="1" applyBorder="1" applyProtection="1"/>
    <xf numFmtId="192" fontId="0" fillId="7" borderId="78" xfId="0" applyNumberFormat="1" applyFont="1" applyFill="1" applyBorder="1" applyProtection="1"/>
    <xf numFmtId="165" fontId="4" fillId="7" borderId="78" xfId="0" applyNumberFormat="1" applyFont="1" applyFill="1" applyBorder="1" applyProtection="1"/>
    <xf numFmtId="164" fontId="4" fillId="7" borderId="78" xfId="0" applyNumberFormat="1" applyFont="1" applyFill="1" applyBorder="1" applyProtection="1"/>
    <xf numFmtId="165" fontId="0" fillId="7" borderId="0" xfId="0" applyNumberFormat="1" applyFont="1" applyFill="1" applyBorder="1" applyProtection="1"/>
    <xf numFmtId="164" fontId="4" fillId="7" borderId="48" xfId="0" applyNumberFormat="1" applyFont="1" applyFill="1" applyBorder="1" applyProtection="1"/>
    <xf numFmtId="0" fontId="0" fillId="7" borderId="7" xfId="0" applyFont="1" applyFill="1" applyBorder="1" applyProtection="1"/>
    <xf numFmtId="178" fontId="31" fillId="0" borderId="0" xfId="0" applyNumberFormat="1" applyFont="1" applyFill="1" applyBorder="1"/>
    <xf numFmtId="0" fontId="72" fillId="3" borderId="0" xfId="0" applyFont="1" applyFill="1" applyAlignment="1" applyProtection="1"/>
    <xf numFmtId="0" fontId="73" fillId="3" borderId="0" xfId="0" applyFont="1" applyFill="1" applyAlignment="1" applyProtection="1">
      <alignment horizontal="left"/>
    </xf>
    <xf numFmtId="0" fontId="41" fillId="4" borderId="97" xfId="0" applyFont="1" applyFill="1" applyBorder="1" applyAlignment="1" applyProtection="1">
      <alignment horizontal="center" vertical="center"/>
      <protection locked="0"/>
    </xf>
    <xf numFmtId="0" fontId="41" fillId="4" borderId="98" xfId="0" applyFont="1" applyFill="1" applyBorder="1" applyAlignment="1" applyProtection="1">
      <alignment horizontal="center" vertical="center"/>
      <protection locked="0"/>
    </xf>
    <xf numFmtId="191" fontId="69" fillId="4" borderId="12" xfId="0" quotePrefix="1" applyNumberFormat="1" applyFont="1" applyFill="1" applyBorder="1" applyAlignment="1" applyProtection="1">
      <alignment horizontal="left"/>
    </xf>
    <xf numFmtId="191" fontId="69" fillId="4" borderId="13" xfId="0" applyNumberFormat="1" applyFont="1" applyFill="1" applyBorder="1" applyAlignment="1" applyProtection="1">
      <alignment horizontal="left"/>
    </xf>
    <xf numFmtId="165" fontId="54" fillId="7" borderId="77" xfId="0" applyNumberFormat="1" applyFont="1" applyFill="1" applyBorder="1" applyAlignment="1" applyProtection="1">
      <alignment horizontal="left"/>
    </xf>
  </cellXfs>
  <cellStyles count="11">
    <cellStyle name="Currency 2" xfId="3"/>
    <cellStyle name="Currency 3" xfId="4"/>
    <cellStyle name="Currency 4" xfId="5"/>
    <cellStyle name="Normaali" xfId="0" builtinId="0"/>
    <cellStyle name="Normal 2" xfId="6"/>
    <cellStyle name="Normal 2 2" xfId="7"/>
    <cellStyle name="Percent 2" xfId="8"/>
    <cellStyle name="Perus" xfId="9"/>
    <cellStyle name="Prosenttia" xfId="2" builtinId="5"/>
    <cellStyle name="Valittu" xfId="10"/>
    <cellStyle name="Valuutta" xfId="1" builtinId="4"/>
  </cellStyles>
  <dxfs count="102">
    <dxf>
      <font>
        <b/>
        <i val="0"/>
        <color rgb="FFC00000"/>
      </font>
    </dxf>
    <dxf>
      <font>
        <b/>
        <i val="0"/>
        <color rgb="FFC00000"/>
      </font>
    </dxf>
    <dxf>
      <numFmt numFmtId="165" formatCode="#,##0.00\ &quot;€&quot;"/>
    </dxf>
    <dxf>
      <numFmt numFmtId="165" formatCode="#,##0.00\ &quot;€&quot;"/>
    </dxf>
    <dxf>
      <numFmt numFmtId="164" formatCode="#,##0\ &quot;€&quot;"/>
    </dxf>
    <dxf>
      <numFmt numFmtId="164" formatCode="#,##0\ &quot;€&quot;"/>
    </dxf>
    <dxf>
      <numFmt numFmtId="164" formatCode="#,##0\ &quot;€&quot;"/>
    </dxf>
    <dxf>
      <numFmt numFmtId="164" formatCode="#,##0\ &quot;€&quot;"/>
    </dxf>
    <dxf>
      <numFmt numFmtId="164" formatCode="#,##0\ &quot;€&quot;"/>
    </dxf>
    <dxf>
      <numFmt numFmtId="164" formatCode="#,##0\ &quot;€&quot;"/>
    </dxf>
    <dxf>
      <numFmt numFmtId="164" formatCode="#,##0\ &quot;€&quot;"/>
    </dxf>
    <dxf>
      <numFmt numFmtId="164" formatCode="#,##0\ &quot;€&quot;"/>
    </dxf>
    <dxf>
      <numFmt numFmtId="164" formatCode="#,##0\ &quot;€&quot;"/>
    </dxf>
    <dxf>
      <font>
        <b/>
        <i val="0"/>
      </font>
      <fill>
        <patternFill>
          <bgColor theme="9" tint="0.79998168889431442"/>
        </patternFill>
      </fill>
    </dxf>
    <dxf>
      <numFmt numFmtId="164" formatCode="#,##0\ &quot;€&quot;"/>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00B050"/>
      </font>
    </dxf>
    <dxf>
      <font>
        <b/>
        <i val="0"/>
        <color rgb="FFC00000"/>
      </font>
    </dxf>
    <dxf>
      <font>
        <b/>
        <i val="0"/>
        <color rgb="FFC00000"/>
      </font>
    </dxf>
    <dxf>
      <font>
        <b/>
        <i val="0"/>
        <color rgb="FF00B050"/>
      </font>
    </dxf>
    <dxf>
      <font>
        <color theme="0" tint="-0.24994659260841701"/>
      </font>
    </dxf>
    <dxf>
      <font>
        <color theme="5" tint="0.59996337778862885"/>
      </font>
    </dxf>
    <dxf>
      <font>
        <b/>
        <i val="0"/>
        <color rgb="FFC00000"/>
      </font>
    </dxf>
    <dxf>
      <font>
        <color theme="5" tint="0.59996337778862885"/>
      </font>
    </dxf>
    <dxf>
      <font>
        <b/>
        <i val="0"/>
        <color rgb="FFC00000"/>
      </font>
    </dxf>
    <dxf>
      <font>
        <b/>
        <i val="0"/>
      </font>
      <fill>
        <patternFill>
          <bgColor theme="9" tint="0.79998168889431442"/>
        </patternFill>
      </fill>
    </dxf>
    <dxf>
      <font>
        <color rgb="FF9C0006"/>
      </font>
      <fill>
        <patternFill>
          <bgColor rgb="FFFFC7CE"/>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val="0"/>
        <color rgb="FFC00000"/>
      </font>
    </dxf>
    <dxf>
      <fill>
        <patternFill>
          <bgColor rgb="FFFFE7EA"/>
        </patternFill>
      </fill>
    </dxf>
    <dxf>
      <font>
        <b/>
        <i val="0"/>
        <color rgb="FFC00000"/>
      </font>
    </dxf>
    <dxf>
      <font>
        <b/>
        <i val="0"/>
        <color rgb="FFC00000"/>
      </font>
    </dxf>
    <dxf>
      <font>
        <color theme="0"/>
      </font>
    </dxf>
    <dxf>
      <fill>
        <patternFill>
          <bgColor theme="0"/>
        </patternFill>
      </fill>
    </dxf>
    <dxf>
      <font>
        <b/>
        <i val="0"/>
        <color rgb="FFC00000"/>
      </font>
    </dxf>
    <dxf>
      <font>
        <b/>
        <i val="0"/>
        <color rgb="FFC00000"/>
      </font>
    </dxf>
    <dxf>
      <font>
        <color theme="0" tint="-0.14996795556505021"/>
      </font>
    </dxf>
    <dxf>
      <font>
        <strike val="0"/>
        <color theme="8" tint="0.79998168889431442"/>
      </font>
    </dxf>
    <dxf>
      <font>
        <b/>
        <i val="0"/>
      </font>
      <fill>
        <patternFill>
          <bgColor theme="9" tint="0.79998168889431442"/>
        </patternFill>
      </fill>
    </dxf>
    <dxf>
      <font>
        <b/>
        <i val="0"/>
      </font>
      <fill>
        <patternFill>
          <bgColor theme="9" tint="0.79998168889431442"/>
        </patternFill>
      </fill>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font>
        <color auto="1"/>
      </font>
      <fill>
        <patternFill>
          <bgColor theme="0"/>
        </patternFill>
      </fill>
    </dxf>
    <dxf>
      <font>
        <b/>
        <i val="0"/>
      </font>
      <fill>
        <patternFill>
          <bgColor theme="9" tint="0.79998168889431442"/>
        </patternFill>
      </fill>
    </dxf>
    <dxf>
      <font>
        <b/>
        <i val="0"/>
        <color rgb="FFC00000"/>
      </font>
    </dxf>
    <dxf>
      <font>
        <b/>
        <i val="0"/>
        <color rgb="FF00B050"/>
      </font>
    </dxf>
    <dxf>
      <font>
        <b/>
        <i val="0"/>
        <color rgb="FFC00000"/>
      </font>
    </dxf>
    <dxf>
      <numFmt numFmtId="165" formatCode="#,##0.00\ &quot;€&quot;"/>
    </dxf>
    <dxf>
      <numFmt numFmtId="164" formatCode="#,##0\ &quot;€&quot;"/>
    </dxf>
    <dxf>
      <font>
        <b/>
        <i val="0"/>
      </font>
      <fill>
        <patternFill>
          <bgColor theme="9" tint="0.79998168889431442"/>
        </patternFill>
      </fill>
    </dxf>
    <dxf>
      <numFmt numFmtId="164" formatCode="#,##0\ &quot;€&quot;"/>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color theme="0" tint="-0.24994659260841701"/>
      </font>
    </dxf>
    <dxf>
      <font>
        <color theme="5" tint="0.59996337778862885"/>
      </font>
    </dxf>
    <dxf>
      <font>
        <b/>
        <i val="0"/>
        <color rgb="FFC00000"/>
      </font>
    </dxf>
    <dxf>
      <font>
        <b/>
        <i val="0"/>
        <color rgb="FFC00000"/>
      </font>
    </dxf>
    <dxf>
      <font>
        <color theme="5" tint="0.59996337778862885"/>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font>
      <fill>
        <patternFill>
          <bgColor theme="9" tint="0.79998168889431442"/>
        </patternFill>
      </fill>
    </dxf>
  </dxfs>
  <tableStyles count="0" defaultTableStyle="TableStyleMedium2" defaultPivotStyle="PivotStyleLight16"/>
  <colors>
    <mruColors>
      <color rgb="FF3F6CAF"/>
      <color rgb="FFFFE7EA"/>
      <color rgb="FFFFFFCC"/>
      <color rgb="FFCADBA5"/>
      <color rgb="FFDDE8C2"/>
      <color rgb="FFE9F0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fi-FI"/>
              <a:t>Tukien jakautuminen kasvatusaikana</a:t>
            </a:r>
          </a:p>
        </c:rich>
      </c:tx>
      <c:layout>
        <c:manualLayout>
          <c:xMode val="edge"/>
          <c:yMode val="edge"/>
          <c:x val="2.6452872813733919E-2"/>
          <c:y val="1.4078326416094541E-2"/>
        </c:manualLayout>
      </c:layout>
      <c:overlay val="0"/>
      <c:spPr>
        <a:noFill/>
        <a:ln w="25400">
          <a:noFill/>
        </a:ln>
      </c:spPr>
    </c:title>
    <c:autoTitleDeleted val="0"/>
    <c:plotArea>
      <c:layout>
        <c:manualLayout>
          <c:layoutTarget val="inner"/>
          <c:xMode val="edge"/>
          <c:yMode val="edge"/>
          <c:x val="8.3980174739503047E-2"/>
          <c:y val="0.17412123484564429"/>
          <c:w val="0.32752089868779133"/>
          <c:h val="0.68649850972018345"/>
        </c:manualLayout>
      </c:layout>
      <c:pieChart>
        <c:varyColors val="1"/>
        <c:ser>
          <c:idx val="0"/>
          <c:order val="0"/>
          <c:spPr>
            <a:solidFill>
              <a:srgbClr val="4F81BD"/>
            </a:solidFill>
            <a:ln w="25400">
              <a:noFill/>
            </a:ln>
          </c:spPr>
          <c:dPt>
            <c:idx val="0"/>
            <c:bubble3D val="0"/>
            <c:explosion val="9"/>
            <c:spPr>
              <a:solidFill>
                <a:schemeClr val="accent1">
                  <a:lumMod val="40000"/>
                  <a:lumOff val="60000"/>
                </a:schemeClr>
              </a:solidFill>
              <a:ln w="25400">
                <a:noFill/>
              </a:ln>
            </c:spPr>
            <c:extLst>
              <c:ext xmlns:c16="http://schemas.microsoft.com/office/drawing/2014/chart" uri="{C3380CC4-5D6E-409C-BE32-E72D297353CC}">
                <c16:uniqueId val="{00000001-4710-4D60-892C-1021071CF449}"/>
              </c:ext>
            </c:extLst>
          </c:dPt>
          <c:dPt>
            <c:idx val="1"/>
            <c:bubble3D val="0"/>
            <c:spPr>
              <a:solidFill>
                <a:srgbClr val="AA4643"/>
              </a:solidFill>
              <a:ln w="25400">
                <a:noFill/>
              </a:ln>
            </c:spPr>
            <c:extLst>
              <c:ext xmlns:c16="http://schemas.microsoft.com/office/drawing/2014/chart" uri="{C3380CC4-5D6E-409C-BE32-E72D297353CC}">
                <c16:uniqueId val="{00000003-4710-4D60-892C-1021071CF449}"/>
              </c:ext>
            </c:extLst>
          </c:dPt>
          <c:dPt>
            <c:idx val="2"/>
            <c:bubble3D val="0"/>
            <c:explosion val="7"/>
            <c:spPr>
              <a:solidFill>
                <a:schemeClr val="accent3">
                  <a:lumMod val="60000"/>
                  <a:lumOff val="40000"/>
                </a:schemeClr>
              </a:solidFill>
              <a:ln w="25400">
                <a:noFill/>
              </a:ln>
            </c:spPr>
            <c:extLst>
              <c:ext xmlns:c16="http://schemas.microsoft.com/office/drawing/2014/chart" uri="{C3380CC4-5D6E-409C-BE32-E72D297353CC}">
                <c16:uniqueId val="{00000005-4710-4D60-892C-1021071CF449}"/>
              </c:ext>
            </c:extLst>
          </c:dPt>
          <c:dPt>
            <c:idx val="3"/>
            <c:bubble3D val="0"/>
            <c:spPr>
              <a:solidFill>
                <a:srgbClr val="71588F"/>
              </a:solidFill>
              <a:ln w="25400">
                <a:noFill/>
              </a:ln>
            </c:spPr>
            <c:extLst>
              <c:ext xmlns:c16="http://schemas.microsoft.com/office/drawing/2014/chart" uri="{C3380CC4-5D6E-409C-BE32-E72D297353CC}">
                <c16:uniqueId val="{00000007-4710-4D60-892C-1021071CF449}"/>
              </c:ext>
            </c:extLst>
          </c:dPt>
          <c:dPt>
            <c:idx val="4"/>
            <c:bubble3D val="0"/>
            <c:spPr>
              <a:solidFill>
                <a:srgbClr val="4198AF"/>
              </a:solidFill>
              <a:ln w="25400">
                <a:noFill/>
              </a:ln>
            </c:spPr>
            <c:extLst>
              <c:ext xmlns:c16="http://schemas.microsoft.com/office/drawing/2014/chart" uri="{C3380CC4-5D6E-409C-BE32-E72D297353CC}">
                <c16:uniqueId val="{00000009-4710-4D60-892C-1021071CF449}"/>
              </c:ext>
            </c:extLst>
          </c:dPt>
          <c:dPt>
            <c:idx val="5"/>
            <c:bubble3D val="0"/>
            <c:spPr>
              <a:solidFill>
                <a:srgbClr val="DB843D"/>
              </a:solidFill>
              <a:ln w="25400">
                <a:noFill/>
              </a:ln>
            </c:spPr>
            <c:extLst>
              <c:ext xmlns:c16="http://schemas.microsoft.com/office/drawing/2014/chart" uri="{C3380CC4-5D6E-409C-BE32-E72D297353CC}">
                <c16:uniqueId val="{0000000B-4710-4D60-892C-1021071CF449}"/>
              </c:ext>
            </c:extLst>
          </c:dPt>
          <c:dPt>
            <c:idx val="6"/>
            <c:bubble3D val="0"/>
            <c:spPr>
              <a:solidFill>
                <a:srgbClr val="93A9CF"/>
              </a:solidFill>
              <a:ln w="25400">
                <a:noFill/>
              </a:ln>
            </c:spPr>
            <c:extLst>
              <c:ext xmlns:c16="http://schemas.microsoft.com/office/drawing/2014/chart" uri="{C3380CC4-5D6E-409C-BE32-E72D297353CC}">
                <c16:uniqueId val="{0000000D-4710-4D60-892C-1021071CF449}"/>
              </c:ext>
            </c:extLst>
          </c:dPt>
          <c:dPt>
            <c:idx val="7"/>
            <c:bubble3D val="0"/>
            <c:spPr>
              <a:solidFill>
                <a:srgbClr val="D19392"/>
              </a:solidFill>
              <a:ln w="25400">
                <a:noFill/>
              </a:ln>
            </c:spPr>
            <c:extLst>
              <c:ext xmlns:c16="http://schemas.microsoft.com/office/drawing/2014/chart" uri="{C3380CC4-5D6E-409C-BE32-E72D297353CC}">
                <c16:uniqueId val="{0000000F-4710-4D60-892C-1021071CF449}"/>
              </c:ext>
            </c:extLst>
          </c:dPt>
          <c:dPt>
            <c:idx val="8"/>
            <c:bubble3D val="0"/>
            <c:spPr>
              <a:solidFill>
                <a:schemeClr val="accent3">
                  <a:lumMod val="20000"/>
                  <a:lumOff val="80000"/>
                </a:schemeClr>
              </a:solidFill>
              <a:ln w="25400">
                <a:noFill/>
              </a:ln>
            </c:spPr>
            <c:extLst>
              <c:ext xmlns:c16="http://schemas.microsoft.com/office/drawing/2014/chart" uri="{C3380CC4-5D6E-409C-BE32-E72D297353CC}">
                <c16:uniqueId val="{00000011-4710-4D60-892C-1021071CF449}"/>
              </c:ext>
            </c:extLst>
          </c:dPt>
          <c:dPt>
            <c:idx val="9"/>
            <c:bubble3D val="0"/>
            <c:spPr>
              <a:solidFill>
                <a:srgbClr val="A99BBD"/>
              </a:solidFill>
              <a:ln w="25400">
                <a:noFill/>
              </a:ln>
            </c:spPr>
            <c:extLst>
              <c:ext xmlns:c16="http://schemas.microsoft.com/office/drawing/2014/chart" uri="{C3380CC4-5D6E-409C-BE32-E72D297353CC}">
                <c16:uniqueId val="{00000013-4710-4D60-892C-1021071CF449}"/>
              </c:ext>
            </c:extLst>
          </c:dPt>
          <c:dPt>
            <c:idx val="10"/>
            <c:bubble3D val="0"/>
            <c:spPr>
              <a:solidFill>
                <a:srgbClr val="91C3D5"/>
              </a:solidFill>
              <a:ln w="25400">
                <a:noFill/>
              </a:ln>
            </c:spPr>
            <c:extLst>
              <c:ext xmlns:c16="http://schemas.microsoft.com/office/drawing/2014/chart" uri="{C3380CC4-5D6E-409C-BE32-E72D297353CC}">
                <c16:uniqueId val="{00000015-4710-4D60-892C-1021071CF449}"/>
              </c:ext>
            </c:extLst>
          </c:dPt>
          <c:dLbls>
            <c:dLbl>
              <c:idx val="0"/>
              <c:layout>
                <c:manualLayout>
                  <c:x val="4.3898156277436349E-3"/>
                  <c:y val="-4.449007529089667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10-4D60-892C-1021071CF449}"/>
                </c:ext>
              </c:extLst>
            </c:dLbl>
            <c:dLbl>
              <c:idx val="1"/>
              <c:layout>
                <c:manualLayout>
                  <c:x val="1.9022534386889136E-2"/>
                  <c:y val="3.080082135523613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710-4D60-892C-1021071CF449}"/>
                </c:ext>
              </c:extLst>
            </c:dLbl>
            <c:dLbl>
              <c:idx val="2"/>
              <c:layout>
                <c:manualLayout>
                  <c:x val="-2.3412350014632707E-2"/>
                  <c:y val="-3.4223134839151265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710-4D60-892C-1021071CF449}"/>
                </c:ext>
              </c:extLst>
            </c:dLbl>
            <c:dLbl>
              <c:idx val="3"/>
              <c:layout>
                <c:manualLayout>
                  <c:x val="-6.5847234416154518E-2"/>
                  <c:y val="0.1505817932922655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710-4D60-892C-1021071CF449}"/>
                </c:ext>
              </c:extLst>
            </c:dLbl>
            <c:dLbl>
              <c:idx val="4"/>
              <c:layout>
                <c:manualLayout>
                  <c:x val="-7.3163709013985195E-2"/>
                  <c:y val="0.11293634496919917"/>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710-4D60-892C-1021071CF449}"/>
                </c:ext>
              </c:extLst>
            </c:dLbl>
            <c:dLbl>
              <c:idx val="5"/>
              <c:layout>
                <c:manualLayout>
                  <c:x val="-0.10242903131401815"/>
                  <c:y val="-2.395619438740588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710-4D60-892C-1021071CF449}"/>
                </c:ext>
              </c:extLst>
            </c:dLbl>
            <c:dLbl>
              <c:idx val="6"/>
              <c:layout>
                <c:manualLayout>
                  <c:x val="-1.755926251097454E-2"/>
                  <c:y val="-2.395619438740588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710-4D60-892C-1021071CF449}"/>
                </c:ext>
              </c:extLst>
            </c:dLbl>
            <c:dLbl>
              <c:idx val="7"/>
              <c:layout>
                <c:manualLayout>
                  <c:x val="-8.6333040678958153E-2"/>
                  <c:y val="5.133470225872686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710-4D60-892C-1021071CF449}"/>
                </c:ext>
              </c:extLst>
            </c:dLbl>
            <c:dLbl>
              <c:idx val="8"/>
              <c:layout>
                <c:manualLayout>
                  <c:x val="-6.2920690664325429E-2"/>
                  <c:y val="-5.133497173222955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710-4D60-892C-1021071CF449}"/>
                </c:ext>
              </c:extLst>
            </c:dLbl>
            <c:dLbl>
              <c:idx val="9"/>
              <c:layout>
                <c:manualLayout>
                  <c:x val="-3.3655253146034535E-2"/>
                  <c:y val="-3.080082135523613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710-4D60-892C-1021071CF449}"/>
                </c:ext>
              </c:extLst>
            </c:dLbl>
            <c:dLbl>
              <c:idx val="10"/>
              <c:layout>
                <c:manualLayout>
                  <c:x val="4.3898156277436401E-2"/>
                  <c:y val="-3.080082135523613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710-4D60-892C-1021071CF449}"/>
                </c:ext>
              </c:extLst>
            </c:dLbl>
            <c:spPr>
              <a:noFill/>
              <a:ln w="25400">
                <a:solidFill>
                  <a:schemeClr val="bg1">
                    <a:lumMod val="75000"/>
                  </a:schemeClr>
                </a:solidFill>
              </a:ln>
            </c:spPr>
            <c:txPr>
              <a:bodyPr wrap="square" lIns="38100" tIns="19050" rIns="38100" bIns="19050" anchor="ctr">
                <a:spAutoFit/>
              </a:bodyPr>
              <a:lstStyle/>
              <a:p>
                <a:pPr>
                  <a:defRPr sz="1200"/>
                </a:pPr>
                <a:endParaRPr lang="fi-FI"/>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(Tukiraportti!$E$17:$E$19,Tukiraportti!$E$21:$E$28)</c:f>
              <c:strCache>
                <c:ptCount val="11"/>
                <c:pt idx="0">
                  <c:v>Eu-nautapalkkio (6kk-alle 20kk) (€/eläin/tukivuosi)</c:v>
                </c:pt>
                <c:pt idx="1">
                  <c:v>Teuraspalkkio (€/eläin)</c:v>
                </c:pt>
                <c:pt idx="2">
                  <c:v>Kansallinen kotieläintuki (6kk-alle 20kk )€/ey/vuosi</c:v>
                </c:pt>
                <c:pt idx="3">
                  <c:v>1. NAUDAT (6kk -4v): Ruokinta ja hoito €/ey/vuosi</c:v>
                </c:pt>
                <c:pt idx="4">
                  <c:v>2 a. Vasikoiden pito-olosuhteiden parantaminen I € /ey/v</c:v>
                </c:pt>
                <c:pt idx="5">
                  <c:v>2 b. Vasikoiden pito-olosuhteiden parantaminen II €/ey/v</c:v>
                </c:pt>
                <c:pt idx="6">
                  <c:v>3 a. Väh. 6kk nautojen pito-olosuhteiden parantaminen €/ey/v</c:v>
                </c:pt>
                <c:pt idx="7">
                  <c:v>3 b. Väh. 12kk sonnien pito-olosuhteiden parantaminen €/ey/v</c:v>
                </c:pt>
                <c:pt idx="8">
                  <c:v>4 a. Väh. 6kk Laidunnus laidunkaudella ja jaloittelu muu aika €/ey/v</c:v>
                </c:pt>
                <c:pt idx="9">
                  <c:v>4 b. Väh. 6kk Pitkäaikaisempi laidunnus laidunkaudella €/ey/v</c:v>
                </c:pt>
                <c:pt idx="10">
                  <c:v>5. Lihanautojen sairas- hoito- ja poikimakarsinat €/ey/v</c:v>
                </c:pt>
              </c:strCache>
            </c:strRef>
          </c:cat>
          <c:val>
            <c:numRef>
              <c:f>(Tukiraportti!$I$17:$I$19,Tukiraportti!$I$21:$I$28)</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4710-4D60-892C-1021071CF44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47038959901741867"/>
          <c:y val="7.5979670918958533E-2"/>
          <c:w val="0.51221100247685369"/>
          <c:h val="0.82343381363573176"/>
        </c:manualLayout>
      </c:layout>
      <c:overlay val="0"/>
      <c:spPr>
        <a:noFill/>
        <a:ln w="25400">
          <a:noFill/>
        </a:ln>
      </c:spPr>
      <c:txPr>
        <a:bodyPr/>
        <a:lstStyle/>
        <a:p>
          <a:pPr>
            <a:defRPr sz="900"/>
          </a:pPr>
          <a:endParaRPr lang="fi-FI"/>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fi-FI"/>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i-FI" sz="1400"/>
              <a:t>Tukien kertymä ajan suhteen</a:t>
            </a:r>
          </a:p>
        </c:rich>
      </c:tx>
      <c:layout>
        <c:manualLayout>
          <c:xMode val="edge"/>
          <c:yMode val="edge"/>
          <c:x val="6.8492069527305577E-2"/>
          <c:y val="2.098635886673662E-2"/>
        </c:manualLayout>
      </c:layout>
      <c:overlay val="0"/>
    </c:title>
    <c:autoTitleDeleted val="0"/>
    <c:plotArea>
      <c:layout/>
      <c:scatterChart>
        <c:scatterStyle val="lineMarker"/>
        <c:varyColors val="0"/>
        <c:ser>
          <c:idx val="0"/>
          <c:order val="0"/>
          <c:tx>
            <c:strRef>
              <c:f>Tukiraportti!$F$66</c:f>
              <c:strCache>
                <c:ptCount val="1"/>
                <c:pt idx="0">
                  <c:v>Eu-nautapalkkio (6kk-alle 20kk) (€/eläin/tukivuosi)</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Tukiraportti!$I$65:$M$65</c:f>
              <c:numCache>
                <c:formatCode>0" pv"</c:formatCode>
                <c:ptCount val="5"/>
                <c:pt idx="0">
                  <c:v>0</c:v>
                </c:pt>
                <c:pt idx="1">
                  <c:v>0</c:v>
                </c:pt>
                <c:pt idx="2">
                  <c:v>0</c:v>
                </c:pt>
                <c:pt idx="3">
                  <c:v>0</c:v>
                </c:pt>
                <c:pt idx="4">
                  <c:v>0</c:v>
                </c:pt>
              </c:numCache>
            </c:numRef>
          </c:xVal>
          <c:yVal>
            <c:numRef>
              <c:f>Tukiraportti!$I$66:$M$66</c:f>
              <c:numCache>
                <c:formatCode>#\ ##0\ "€"</c:formatCode>
                <c:ptCount val="5"/>
                <c:pt idx="0" formatCode="#\ ##0.0\ &quot;€&quot;">
                  <c:v>0</c:v>
                </c:pt>
                <c:pt idx="1">
                  <c:v>0</c:v>
                </c:pt>
                <c:pt idx="2">
                  <c:v>0</c:v>
                </c:pt>
              </c:numCache>
            </c:numRef>
          </c:yVal>
          <c:smooth val="0"/>
          <c:extLst>
            <c:ext xmlns:c16="http://schemas.microsoft.com/office/drawing/2014/chart" uri="{C3380CC4-5D6E-409C-BE32-E72D297353CC}">
              <c16:uniqueId val="{00000000-09D0-4C8E-97A3-CD4BF738AECB}"/>
            </c:ext>
          </c:extLst>
        </c:ser>
        <c:ser>
          <c:idx val="1"/>
          <c:order val="1"/>
          <c:tx>
            <c:strRef>
              <c:f>Tukiraportti!$F$67</c:f>
              <c:strCache>
                <c:ptCount val="1"/>
                <c:pt idx="0">
                  <c:v>Teuraspalkkio (€/eläin)</c:v>
                </c:pt>
              </c:strCache>
            </c:strRef>
          </c:tx>
          <c:xVal>
            <c:numRef>
              <c:f>Tukiraportti!$I$65:$M$65</c:f>
              <c:numCache>
                <c:formatCode>0" pv"</c:formatCode>
                <c:ptCount val="5"/>
                <c:pt idx="0">
                  <c:v>0</c:v>
                </c:pt>
                <c:pt idx="1">
                  <c:v>0</c:v>
                </c:pt>
                <c:pt idx="2">
                  <c:v>0</c:v>
                </c:pt>
                <c:pt idx="3">
                  <c:v>0</c:v>
                </c:pt>
                <c:pt idx="4">
                  <c:v>0</c:v>
                </c:pt>
              </c:numCache>
            </c:numRef>
          </c:xVal>
          <c:yVal>
            <c:numRef>
              <c:f>Tukiraportti!$I$67:$M$67</c:f>
              <c:numCache>
                <c:formatCode>#\ ##0\ "€"</c:formatCode>
                <c:ptCount val="5"/>
              </c:numCache>
            </c:numRef>
          </c:yVal>
          <c:smooth val="0"/>
          <c:extLst>
            <c:ext xmlns:c16="http://schemas.microsoft.com/office/drawing/2014/chart" uri="{C3380CC4-5D6E-409C-BE32-E72D297353CC}">
              <c16:uniqueId val="{00000001-09D0-4C8E-97A3-CD4BF738AECB}"/>
            </c:ext>
          </c:extLst>
        </c:ser>
        <c:ser>
          <c:idx val="2"/>
          <c:order val="2"/>
          <c:tx>
            <c:strRef>
              <c:f>Tukiraportti!$F$68</c:f>
              <c:strCache>
                <c:ptCount val="1"/>
                <c:pt idx="0">
                  <c:v>Kansallinen kotieläintuki (6kk-alle 20kk )€/ey/vuosi</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Tukiraportti!$I$65:$M$65</c:f>
              <c:numCache>
                <c:formatCode>0" pv"</c:formatCode>
                <c:ptCount val="5"/>
                <c:pt idx="0">
                  <c:v>0</c:v>
                </c:pt>
                <c:pt idx="1">
                  <c:v>0</c:v>
                </c:pt>
                <c:pt idx="2">
                  <c:v>0</c:v>
                </c:pt>
                <c:pt idx="3">
                  <c:v>0</c:v>
                </c:pt>
                <c:pt idx="4">
                  <c:v>0</c:v>
                </c:pt>
              </c:numCache>
            </c:numRef>
          </c:xVal>
          <c:yVal>
            <c:numRef>
              <c:f>Tukiraportti!$I$68:$M$68</c:f>
              <c:numCache>
                <c:formatCode>#\ ##0\ "€"</c:formatCode>
                <c:ptCount val="5"/>
                <c:pt idx="0" formatCode="#\ ##0.0\ &quot;€&quot;">
                  <c:v>0</c:v>
                </c:pt>
                <c:pt idx="1">
                  <c:v>0</c:v>
                </c:pt>
                <c:pt idx="2">
                  <c:v>0</c:v>
                </c:pt>
              </c:numCache>
            </c:numRef>
          </c:yVal>
          <c:smooth val="0"/>
          <c:extLst>
            <c:ext xmlns:c16="http://schemas.microsoft.com/office/drawing/2014/chart" uri="{C3380CC4-5D6E-409C-BE32-E72D297353CC}">
              <c16:uniqueId val="{00000002-09D0-4C8E-97A3-CD4BF738AECB}"/>
            </c:ext>
          </c:extLst>
        </c:ser>
        <c:ser>
          <c:idx val="3"/>
          <c:order val="3"/>
          <c:tx>
            <c:strRef>
              <c:f>Tukiraportti!$F$69</c:f>
              <c:strCache>
                <c:ptCount val="1"/>
                <c:pt idx="0">
                  <c:v>1. NAUDAT (6kk -4v): Ruokinta ja hoito €/ey/vuosi</c:v>
                </c:pt>
              </c:strCache>
            </c:strRef>
          </c:tx>
          <c:xVal>
            <c:numRef>
              <c:f>Tukiraportti!$I$65:$M$65</c:f>
              <c:numCache>
                <c:formatCode>0" pv"</c:formatCode>
                <c:ptCount val="5"/>
                <c:pt idx="0">
                  <c:v>0</c:v>
                </c:pt>
                <c:pt idx="1">
                  <c:v>0</c:v>
                </c:pt>
                <c:pt idx="2">
                  <c:v>0</c:v>
                </c:pt>
                <c:pt idx="3">
                  <c:v>0</c:v>
                </c:pt>
                <c:pt idx="4">
                  <c:v>0</c:v>
                </c:pt>
              </c:numCache>
            </c:numRef>
          </c:xVal>
          <c:yVal>
            <c:numRef>
              <c:f>Tukiraportti!$I$69:$M$69</c:f>
              <c:numCache>
                <c:formatCode>#\ ##0\ "€"</c:formatCode>
                <c:ptCount val="5"/>
                <c:pt idx="0" formatCode="#\ ##0.0\ &quot;€&quot;">
                  <c:v>0</c:v>
                </c:pt>
                <c:pt idx="1">
                  <c:v>0</c:v>
                </c:pt>
                <c:pt idx="2">
                  <c:v>0</c:v>
                </c:pt>
                <c:pt idx="3">
                  <c:v>0</c:v>
                </c:pt>
                <c:pt idx="4">
                  <c:v>0</c:v>
                </c:pt>
              </c:numCache>
            </c:numRef>
          </c:yVal>
          <c:smooth val="0"/>
          <c:extLst>
            <c:ext xmlns:c16="http://schemas.microsoft.com/office/drawing/2014/chart" uri="{C3380CC4-5D6E-409C-BE32-E72D297353CC}">
              <c16:uniqueId val="{00000003-09D0-4C8E-97A3-CD4BF738AECB}"/>
            </c:ext>
          </c:extLst>
        </c:ser>
        <c:ser>
          <c:idx val="4"/>
          <c:order val="4"/>
          <c:tx>
            <c:strRef>
              <c:f>Tukiraportti!$F$70</c:f>
              <c:strCache>
                <c:ptCount val="1"/>
                <c:pt idx="0">
                  <c:v>2 a. Vasikoiden pito-olosuhteiden parantaminen I € /ey/v</c:v>
                </c:pt>
              </c:strCache>
            </c:strRef>
          </c:tx>
          <c:xVal>
            <c:numRef>
              <c:f>Tukiraportti!$I$65:$M$65</c:f>
              <c:numCache>
                <c:formatCode>0" pv"</c:formatCode>
                <c:ptCount val="5"/>
                <c:pt idx="0">
                  <c:v>0</c:v>
                </c:pt>
                <c:pt idx="1">
                  <c:v>0</c:v>
                </c:pt>
                <c:pt idx="2">
                  <c:v>0</c:v>
                </c:pt>
                <c:pt idx="3">
                  <c:v>0</c:v>
                </c:pt>
                <c:pt idx="4">
                  <c:v>0</c:v>
                </c:pt>
              </c:numCache>
            </c:numRef>
          </c:xVal>
          <c:yVal>
            <c:numRef>
              <c:f>Tukiraportti!$I$70:$M$70</c:f>
              <c:numCache>
                <c:formatCode>#\ ##0\ "€"</c:formatCode>
                <c:ptCount val="5"/>
                <c:pt idx="0" formatCode="#\ ##0.0\ &quot;€&quot;">
                  <c:v>0</c:v>
                </c:pt>
              </c:numCache>
            </c:numRef>
          </c:yVal>
          <c:smooth val="0"/>
          <c:extLst>
            <c:ext xmlns:c16="http://schemas.microsoft.com/office/drawing/2014/chart" uri="{C3380CC4-5D6E-409C-BE32-E72D297353CC}">
              <c16:uniqueId val="{00000004-09D0-4C8E-97A3-CD4BF738AECB}"/>
            </c:ext>
          </c:extLst>
        </c:ser>
        <c:ser>
          <c:idx val="5"/>
          <c:order val="5"/>
          <c:tx>
            <c:strRef>
              <c:f>Tukiraportti!$F$71</c:f>
              <c:strCache>
                <c:ptCount val="1"/>
                <c:pt idx="0">
                  <c:v>2 b. Vasikoiden pito-olosuhteiden parantaminen II €/ey/v</c:v>
                </c:pt>
              </c:strCache>
            </c:strRef>
          </c:tx>
          <c:xVal>
            <c:numRef>
              <c:f>Tukiraportti!$I$65:$M$65</c:f>
              <c:numCache>
                <c:formatCode>0" pv"</c:formatCode>
                <c:ptCount val="5"/>
                <c:pt idx="0">
                  <c:v>0</c:v>
                </c:pt>
                <c:pt idx="1">
                  <c:v>0</c:v>
                </c:pt>
                <c:pt idx="2">
                  <c:v>0</c:v>
                </c:pt>
                <c:pt idx="3">
                  <c:v>0</c:v>
                </c:pt>
                <c:pt idx="4">
                  <c:v>0</c:v>
                </c:pt>
              </c:numCache>
            </c:numRef>
          </c:xVal>
          <c:yVal>
            <c:numRef>
              <c:f>Tukiraportti!$I$71:$M$71</c:f>
              <c:numCache>
                <c:formatCode>#\ ##0\ "€"</c:formatCode>
                <c:ptCount val="5"/>
                <c:pt idx="0" formatCode="#\ ##0.0\ &quot;€&quot;">
                  <c:v>0</c:v>
                </c:pt>
              </c:numCache>
            </c:numRef>
          </c:yVal>
          <c:smooth val="0"/>
          <c:extLst>
            <c:ext xmlns:c16="http://schemas.microsoft.com/office/drawing/2014/chart" uri="{C3380CC4-5D6E-409C-BE32-E72D297353CC}">
              <c16:uniqueId val="{00000005-09D0-4C8E-97A3-CD4BF738AECB}"/>
            </c:ext>
          </c:extLst>
        </c:ser>
        <c:ser>
          <c:idx val="6"/>
          <c:order val="6"/>
          <c:tx>
            <c:strRef>
              <c:f>Tukiraportti!$F$72</c:f>
              <c:strCache>
                <c:ptCount val="1"/>
                <c:pt idx="0">
                  <c:v>3 a. Väh. 6kk nautojen pito-olosuhteiden parantaminen €/ey/v</c:v>
                </c:pt>
              </c:strCache>
            </c:strRef>
          </c:tx>
          <c:xVal>
            <c:numRef>
              <c:f>Tukiraportti!$I$65:$M$65</c:f>
              <c:numCache>
                <c:formatCode>0" pv"</c:formatCode>
                <c:ptCount val="5"/>
                <c:pt idx="0">
                  <c:v>0</c:v>
                </c:pt>
                <c:pt idx="1">
                  <c:v>0</c:v>
                </c:pt>
                <c:pt idx="2">
                  <c:v>0</c:v>
                </c:pt>
                <c:pt idx="3">
                  <c:v>0</c:v>
                </c:pt>
                <c:pt idx="4">
                  <c:v>0</c:v>
                </c:pt>
              </c:numCache>
            </c:numRef>
          </c:xVal>
          <c:yVal>
            <c:numRef>
              <c:f>Tukiraportti!$I$72:$M$72</c:f>
              <c:numCache>
                <c:formatCode>#\ ##0\ "€"</c:formatCode>
                <c:ptCount val="5"/>
                <c:pt idx="0" formatCode="#\ ##0.0\ &quot;€&quot;">
                  <c:v>0</c:v>
                </c:pt>
                <c:pt idx="1">
                  <c:v>0</c:v>
                </c:pt>
                <c:pt idx="2">
                  <c:v>0</c:v>
                </c:pt>
                <c:pt idx="3">
                  <c:v>0</c:v>
                </c:pt>
                <c:pt idx="4">
                  <c:v>0</c:v>
                </c:pt>
              </c:numCache>
            </c:numRef>
          </c:yVal>
          <c:smooth val="0"/>
          <c:extLst>
            <c:ext xmlns:c16="http://schemas.microsoft.com/office/drawing/2014/chart" uri="{C3380CC4-5D6E-409C-BE32-E72D297353CC}">
              <c16:uniqueId val="{00000006-09D0-4C8E-97A3-CD4BF738AECB}"/>
            </c:ext>
          </c:extLst>
        </c:ser>
        <c:ser>
          <c:idx val="7"/>
          <c:order val="7"/>
          <c:tx>
            <c:strRef>
              <c:f>Tukiraportti!$F$73</c:f>
              <c:strCache>
                <c:ptCount val="1"/>
                <c:pt idx="0">
                  <c:v>3 b. Väh. 12kk sonnien pito-olosuhteiden parantaminen €/ey/v</c:v>
                </c:pt>
              </c:strCache>
            </c:strRef>
          </c:tx>
          <c:xVal>
            <c:numRef>
              <c:f>Tukiraportti!$I$65:$M$65</c:f>
              <c:numCache>
                <c:formatCode>0" pv"</c:formatCode>
                <c:ptCount val="5"/>
                <c:pt idx="0">
                  <c:v>0</c:v>
                </c:pt>
                <c:pt idx="1">
                  <c:v>0</c:v>
                </c:pt>
                <c:pt idx="2">
                  <c:v>0</c:v>
                </c:pt>
                <c:pt idx="3">
                  <c:v>0</c:v>
                </c:pt>
                <c:pt idx="4">
                  <c:v>0</c:v>
                </c:pt>
              </c:numCache>
            </c:numRef>
          </c:xVal>
          <c:yVal>
            <c:numRef>
              <c:f>Tukiraportti!$I$73:$M$73</c:f>
              <c:numCache>
                <c:formatCode>#\ ##0\ "€"</c:formatCode>
                <c:ptCount val="5"/>
                <c:pt idx="1">
                  <c:v>0</c:v>
                </c:pt>
                <c:pt idx="2">
                  <c:v>0</c:v>
                </c:pt>
                <c:pt idx="3">
                  <c:v>0</c:v>
                </c:pt>
                <c:pt idx="4">
                  <c:v>0</c:v>
                </c:pt>
              </c:numCache>
            </c:numRef>
          </c:yVal>
          <c:smooth val="0"/>
          <c:extLst>
            <c:ext xmlns:c16="http://schemas.microsoft.com/office/drawing/2014/chart" uri="{C3380CC4-5D6E-409C-BE32-E72D297353CC}">
              <c16:uniqueId val="{00000007-09D0-4C8E-97A3-CD4BF738AECB}"/>
            </c:ext>
          </c:extLst>
        </c:ser>
        <c:ser>
          <c:idx val="8"/>
          <c:order val="8"/>
          <c:tx>
            <c:strRef>
              <c:f>Tukiraportti!$F$74</c:f>
              <c:strCache>
                <c:ptCount val="1"/>
                <c:pt idx="0">
                  <c:v>4 a. Väh. 6kk Laidunnus laidunkaudella ja jaloittelu muu aika €/ey/v</c:v>
                </c:pt>
              </c:strCache>
            </c:strRef>
          </c:tx>
          <c:xVal>
            <c:numRef>
              <c:f>Tukiraportti!$I$65:$M$65</c:f>
              <c:numCache>
                <c:formatCode>0" pv"</c:formatCode>
                <c:ptCount val="5"/>
                <c:pt idx="0">
                  <c:v>0</c:v>
                </c:pt>
                <c:pt idx="1">
                  <c:v>0</c:v>
                </c:pt>
                <c:pt idx="2">
                  <c:v>0</c:v>
                </c:pt>
                <c:pt idx="3">
                  <c:v>0</c:v>
                </c:pt>
                <c:pt idx="4">
                  <c:v>0</c:v>
                </c:pt>
              </c:numCache>
            </c:numRef>
          </c:xVal>
          <c:yVal>
            <c:numRef>
              <c:f>Tukiraportti!$I$74:$M$74</c:f>
              <c:numCache>
                <c:formatCode>#\ ##0\ "€"</c:formatCode>
                <c:ptCount val="5"/>
                <c:pt idx="0" formatCode="#\ ##0.0\ &quot;€&quot;">
                  <c:v>0</c:v>
                </c:pt>
                <c:pt idx="1">
                  <c:v>0</c:v>
                </c:pt>
                <c:pt idx="2">
                  <c:v>0</c:v>
                </c:pt>
                <c:pt idx="3">
                  <c:v>0</c:v>
                </c:pt>
                <c:pt idx="4">
                  <c:v>0</c:v>
                </c:pt>
              </c:numCache>
            </c:numRef>
          </c:yVal>
          <c:smooth val="0"/>
          <c:extLst>
            <c:ext xmlns:c16="http://schemas.microsoft.com/office/drawing/2014/chart" uri="{C3380CC4-5D6E-409C-BE32-E72D297353CC}">
              <c16:uniqueId val="{00000008-09D0-4C8E-97A3-CD4BF738AECB}"/>
            </c:ext>
          </c:extLst>
        </c:ser>
        <c:ser>
          <c:idx val="9"/>
          <c:order val="9"/>
          <c:tx>
            <c:strRef>
              <c:f>Tukiraportti!$F$75</c:f>
              <c:strCache>
                <c:ptCount val="1"/>
                <c:pt idx="0">
                  <c:v>4 b. Väh. 6kk Pitkäaikaisempi laidunnus laidunkaudella €/ey/v</c:v>
                </c:pt>
              </c:strCache>
            </c:strRef>
          </c:tx>
          <c:xVal>
            <c:numRef>
              <c:f>Tukiraportti!$I$65:$M$65</c:f>
              <c:numCache>
                <c:formatCode>0" pv"</c:formatCode>
                <c:ptCount val="5"/>
                <c:pt idx="0">
                  <c:v>0</c:v>
                </c:pt>
                <c:pt idx="1">
                  <c:v>0</c:v>
                </c:pt>
                <c:pt idx="2">
                  <c:v>0</c:v>
                </c:pt>
                <c:pt idx="3">
                  <c:v>0</c:v>
                </c:pt>
                <c:pt idx="4">
                  <c:v>0</c:v>
                </c:pt>
              </c:numCache>
            </c:numRef>
          </c:xVal>
          <c:yVal>
            <c:numRef>
              <c:f>Tukiraportti!$I$75:$M$75</c:f>
              <c:numCache>
                <c:formatCode>#\ ##0\ "€"</c:formatCode>
                <c:ptCount val="5"/>
                <c:pt idx="0" formatCode="#\ ##0.0\ &quot;€&quot;">
                  <c:v>0</c:v>
                </c:pt>
                <c:pt idx="1">
                  <c:v>0</c:v>
                </c:pt>
                <c:pt idx="2">
                  <c:v>0</c:v>
                </c:pt>
                <c:pt idx="3">
                  <c:v>0</c:v>
                </c:pt>
                <c:pt idx="4">
                  <c:v>0</c:v>
                </c:pt>
              </c:numCache>
            </c:numRef>
          </c:yVal>
          <c:smooth val="0"/>
          <c:extLst>
            <c:ext xmlns:c16="http://schemas.microsoft.com/office/drawing/2014/chart" uri="{C3380CC4-5D6E-409C-BE32-E72D297353CC}">
              <c16:uniqueId val="{00000009-09D0-4C8E-97A3-CD4BF738AECB}"/>
            </c:ext>
          </c:extLst>
        </c:ser>
        <c:ser>
          <c:idx val="10"/>
          <c:order val="10"/>
          <c:tx>
            <c:strRef>
              <c:f>Tukiraportti!$F$76</c:f>
              <c:strCache>
                <c:ptCount val="1"/>
                <c:pt idx="0">
                  <c:v>5. Lihanautojen sairas- hoito- ja poikimakarsinat €/ey/v</c:v>
                </c:pt>
              </c:strCache>
            </c:strRef>
          </c:tx>
          <c:xVal>
            <c:numRef>
              <c:f>Tukiraportti!$I$65:$M$65</c:f>
              <c:numCache>
                <c:formatCode>0" pv"</c:formatCode>
                <c:ptCount val="5"/>
                <c:pt idx="0">
                  <c:v>0</c:v>
                </c:pt>
                <c:pt idx="1">
                  <c:v>0</c:v>
                </c:pt>
                <c:pt idx="2">
                  <c:v>0</c:v>
                </c:pt>
                <c:pt idx="3">
                  <c:v>0</c:v>
                </c:pt>
                <c:pt idx="4">
                  <c:v>0</c:v>
                </c:pt>
              </c:numCache>
            </c:numRef>
          </c:xVal>
          <c:yVal>
            <c:numRef>
              <c:f>Tukiraportti!$I$76:$M$76</c:f>
              <c:numCache>
                <c:formatCode>#\ ##0\ "€"</c:formatCode>
                <c:ptCount val="5"/>
                <c:pt idx="0" formatCode="#\ ##0.0\ &quot;€&quot;">
                  <c:v>0</c:v>
                </c:pt>
                <c:pt idx="1">
                  <c:v>0</c:v>
                </c:pt>
                <c:pt idx="2">
                  <c:v>0</c:v>
                </c:pt>
                <c:pt idx="3">
                  <c:v>0</c:v>
                </c:pt>
                <c:pt idx="4">
                  <c:v>0</c:v>
                </c:pt>
              </c:numCache>
            </c:numRef>
          </c:yVal>
          <c:smooth val="0"/>
          <c:extLst>
            <c:ext xmlns:c16="http://schemas.microsoft.com/office/drawing/2014/chart" uri="{C3380CC4-5D6E-409C-BE32-E72D297353CC}">
              <c16:uniqueId val="{0000000A-09D0-4C8E-97A3-CD4BF738AECB}"/>
            </c:ext>
          </c:extLst>
        </c:ser>
        <c:ser>
          <c:idx val="11"/>
          <c:order val="11"/>
          <c:tx>
            <c:strRef>
              <c:f>Tukiraportti!$F$77</c:f>
              <c:strCache>
                <c:ptCount val="1"/>
                <c:pt idx="0">
                  <c:v>Kaikki yhteensä</c:v>
                </c:pt>
              </c:strCache>
            </c:strRef>
          </c:tx>
          <c:spPr>
            <a:ln w="47625" cmpd="dbl">
              <a:solidFill>
                <a:schemeClr val="accent6">
                  <a:lumMod val="75000"/>
                </a:schemeClr>
              </a:solidFill>
            </a:ln>
          </c:spPr>
          <c:marker>
            <c:symbol val="square"/>
            <c:size val="9"/>
          </c:marker>
          <c:dLbls>
            <c:dLbl>
              <c:idx val="4"/>
              <c:layout>
                <c:manualLayout>
                  <c:x val="6.5078728635654523E-3"/>
                  <c:y val="-4.93267565059089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9D0-4C8E-97A3-CD4BF738AECB}"/>
                </c:ext>
              </c:extLst>
            </c:dLbl>
            <c:spPr>
              <a:noFill/>
              <a:ln>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Tukiraportti!$I$65:$M$65</c:f>
              <c:numCache>
                <c:formatCode>0" pv"</c:formatCode>
                <c:ptCount val="5"/>
                <c:pt idx="0">
                  <c:v>0</c:v>
                </c:pt>
                <c:pt idx="1">
                  <c:v>0</c:v>
                </c:pt>
                <c:pt idx="2">
                  <c:v>0</c:v>
                </c:pt>
                <c:pt idx="3">
                  <c:v>0</c:v>
                </c:pt>
                <c:pt idx="4">
                  <c:v>0</c:v>
                </c:pt>
              </c:numCache>
            </c:numRef>
          </c:xVal>
          <c:yVal>
            <c:numRef>
              <c:f>Tukiraportti!$I$77:$M$77</c:f>
              <c:numCache>
                <c:formatCode>#\ ##0\ "€"</c:formatCode>
                <c:ptCount val="5"/>
                <c:pt idx="0" formatCode="#\ ##0.0\ &quot;€&quot;">
                  <c:v>0</c:v>
                </c:pt>
                <c:pt idx="1">
                  <c:v>0</c:v>
                </c:pt>
                <c:pt idx="2">
                  <c:v>0</c:v>
                </c:pt>
                <c:pt idx="3">
                  <c:v>0</c:v>
                </c:pt>
                <c:pt idx="4">
                  <c:v>0</c:v>
                </c:pt>
              </c:numCache>
            </c:numRef>
          </c:yVal>
          <c:smooth val="0"/>
          <c:extLst>
            <c:ext xmlns:c16="http://schemas.microsoft.com/office/drawing/2014/chart" uri="{C3380CC4-5D6E-409C-BE32-E72D297353CC}">
              <c16:uniqueId val="{0000000C-09D0-4C8E-97A3-CD4BF738AECB}"/>
            </c:ext>
          </c:extLst>
        </c:ser>
        <c:dLbls>
          <c:showLegendKey val="0"/>
          <c:showVal val="0"/>
          <c:showCatName val="0"/>
          <c:showSerName val="0"/>
          <c:showPercent val="0"/>
          <c:showBubbleSize val="0"/>
        </c:dLbls>
        <c:axId val="141196032"/>
        <c:axId val="141196608"/>
      </c:scatterChart>
      <c:valAx>
        <c:axId val="141196032"/>
        <c:scaling>
          <c:orientation val="minMax"/>
        </c:scaling>
        <c:delete val="0"/>
        <c:axPos val="b"/>
        <c:majorGridlines/>
        <c:numFmt formatCode="0&quot; pv&quot;" sourceLinked="1"/>
        <c:majorTickMark val="out"/>
        <c:minorTickMark val="none"/>
        <c:tickLblPos val="nextTo"/>
        <c:crossAx val="141196608"/>
        <c:crosses val="autoZero"/>
        <c:crossBetween val="midCat"/>
      </c:valAx>
      <c:valAx>
        <c:axId val="141196608"/>
        <c:scaling>
          <c:orientation val="minMax"/>
        </c:scaling>
        <c:delete val="0"/>
        <c:axPos val="l"/>
        <c:majorGridlines/>
        <c:numFmt formatCode="#\ ##0.0\ &quot;€&quot;" sourceLinked="1"/>
        <c:majorTickMark val="out"/>
        <c:minorTickMark val="none"/>
        <c:tickLblPos val="nextTo"/>
        <c:crossAx val="141196032"/>
        <c:crosses val="autoZero"/>
        <c:crossBetween val="midCat"/>
      </c:valAx>
    </c:plotArea>
    <c:legend>
      <c:legendPos val="r"/>
      <c:layout>
        <c:manualLayout>
          <c:xMode val="edge"/>
          <c:yMode val="edge"/>
          <c:x val="0.65349721978343578"/>
          <c:y val="4.1951786456913234E-2"/>
          <c:w val="0.33772314896107697"/>
          <c:h val="0.92906708388470949"/>
        </c:manualLayout>
      </c:layout>
      <c:overlay val="0"/>
      <c:spPr>
        <a:noFill/>
      </c:spPr>
      <c:txPr>
        <a:bodyPr/>
        <a:lstStyle/>
        <a:p>
          <a:pPr>
            <a:defRPr sz="900"/>
          </a:pPr>
          <a:endParaRPr lang="fi-FI"/>
        </a:p>
      </c:txPr>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Drop" dropLines="62" dropStyle="combo" dx="20" fmlaLink="$S$2" fmlaRange="Tukitaulukko!$R$8:$R$17" sel="4" val="0"/>
</file>

<file path=xl/ctrlProps/ctrlProp2.xml><?xml version="1.0" encoding="utf-8"?>
<formControlPr xmlns="http://schemas.microsoft.com/office/spreadsheetml/2009/9/main" objectType="Scroll" dx="22" fmlaLink="$I$8" horiz="1" max="1000" min="1" page="10"/>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hyperlink" Target="#Tukitaulukko!A1"/><Relationship Id="rId5" Type="http://schemas.openxmlformats.org/officeDocument/2006/relationships/hyperlink" Target="#Tukiraportti!A1"/><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hyperlink" Target="#'Valitut tuet'!A1"/></Relationships>
</file>

<file path=xl/drawings/_rels/drawing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Valitut tuet'!A1"/><Relationship Id="rId5" Type="http://schemas.openxmlformats.org/officeDocument/2006/relationships/image" Target="../media/image2.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xdr:row>
          <xdr:rowOff>171450</xdr:rowOff>
        </xdr:from>
        <xdr:to>
          <xdr:col>9</xdr:col>
          <xdr:colOff>0</xdr:colOff>
          <xdr:row>2</xdr:row>
          <xdr:rowOff>228600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381</xdr:colOff>
      <xdr:row>2</xdr:row>
      <xdr:rowOff>217349</xdr:rowOff>
    </xdr:from>
    <xdr:to>
      <xdr:col>3</xdr:col>
      <xdr:colOff>9720</xdr:colOff>
      <xdr:row>4</xdr:row>
      <xdr:rowOff>88561</xdr:rowOff>
    </xdr:to>
    <xdr:sp macro="" textlink="">
      <xdr:nvSpPr>
        <xdr:cNvPr id="5" name="Rounded Rectangle 8">
          <a:hlinkClick xmlns:r="http://schemas.openxmlformats.org/officeDocument/2006/relationships" r:id="rId1"/>
          <a:extLst>
            <a:ext uri="{FF2B5EF4-FFF2-40B4-BE49-F238E27FC236}">
              <a16:creationId xmlns:a16="http://schemas.microsoft.com/office/drawing/2014/main" id="{00000000-0008-0000-0000-000005000000}"/>
            </a:ext>
          </a:extLst>
        </xdr:cNvPr>
        <xdr:cNvSpPr>
          <a:spLocks noChangeArrowheads="1"/>
        </xdr:cNvSpPr>
      </xdr:nvSpPr>
      <xdr:spPr bwMode="auto">
        <a:xfrm>
          <a:off x="233646" y="1072655"/>
          <a:ext cx="1486686" cy="328023"/>
        </a:xfrm>
        <a:prstGeom prst="roundRect">
          <a:avLst>
            <a:gd name="adj" fmla="val 16667"/>
          </a:avLst>
        </a:prstGeom>
        <a:solidFill>
          <a:srgbClr val="D9D9D9"/>
        </a:solidFill>
        <a:ln w="9525">
          <a:solidFill>
            <a:srgbClr val="595959"/>
          </a:solidFill>
          <a:round/>
          <a:headEnd/>
          <a:tailEnd/>
        </a:ln>
        <a:effectLst>
          <a:outerShdw blurRad="50800" dist="38100" dir="2700000" algn="tl" rotWithShape="0">
            <a:srgbClr val="808080">
              <a:alpha val="39999"/>
            </a:srgbClr>
          </a:outerShdw>
        </a:effectLst>
        <a:scene3d>
          <a:camera prst="orthographicFront"/>
          <a:lightRig rig="threePt" dir="t"/>
        </a:scene3d>
        <a:sp3d contourW="12700" prstMaterial="matte">
          <a:bevelT w="88900"/>
          <a:bevelB w="88900" h="120650"/>
          <a:contourClr>
            <a:schemeClr val="accent1">
              <a:lumMod val="40000"/>
              <a:lumOff val="60000"/>
            </a:schemeClr>
          </a:contourClr>
        </a:sp3d>
      </xdr:spPr>
      <xdr:txBody>
        <a:bodyPr vertOverflow="clip" wrap="square" lIns="27432" tIns="27432" rIns="27432" bIns="27432" anchor="b" upright="1"/>
        <a:lstStyle/>
        <a:p>
          <a:pPr algn="ctr" rtl="0">
            <a:defRPr sz="1000"/>
          </a:pPr>
          <a:r>
            <a:rPr lang="fi-FI" sz="1200" b="1" i="0" u="none" strike="noStrike" baseline="0">
              <a:solidFill>
                <a:schemeClr val="tx2">
                  <a:lumMod val="75000"/>
                </a:schemeClr>
              </a:solidFill>
              <a:latin typeface="Cambria" panose="02040503050406030204" pitchFamily="18" charset="0"/>
            </a:rPr>
            <a:t>Tukitaulukko</a:t>
          </a:r>
        </a:p>
        <a:p>
          <a:pPr algn="ctr" rtl="0">
            <a:defRPr sz="1000"/>
          </a:pPr>
          <a:endParaRPr lang="fi-FI" sz="300" b="1" i="0" u="none" strike="noStrike" baseline="0">
            <a:solidFill>
              <a:schemeClr val="tx2">
                <a:lumMod val="75000"/>
              </a:schemeClr>
            </a:solidFill>
            <a:latin typeface="Cambria" panose="02040503050406030204" pitchFamily="18" charset="0"/>
          </a:endParaRPr>
        </a:p>
      </xdr:txBody>
    </xdr:sp>
    <xdr:clientData/>
  </xdr:twoCellAnchor>
  <xdr:twoCellAnchor>
    <xdr:from>
      <xdr:col>10</xdr:col>
      <xdr:colOff>0</xdr:colOff>
      <xdr:row>0</xdr:row>
      <xdr:rowOff>252470</xdr:rowOff>
    </xdr:from>
    <xdr:to>
      <xdr:col>12</xdr:col>
      <xdr:colOff>895121</xdr:colOff>
      <xdr:row>1</xdr:row>
      <xdr:rowOff>68856</xdr:rowOff>
    </xdr:to>
    <xdr:grpSp>
      <xdr:nvGrpSpPr>
        <xdr:cNvPr id="10" name="Group 9"/>
        <xdr:cNvGrpSpPr/>
      </xdr:nvGrpSpPr>
      <xdr:grpSpPr>
        <a:xfrm>
          <a:off x="9514417" y="252470"/>
          <a:ext cx="2572579" cy="483136"/>
          <a:chOff x="9674187" y="252470"/>
          <a:chExt cx="2868976" cy="481988"/>
        </a:xfrm>
      </xdr:grpSpPr>
      <xdr:sp macro="" textlink="">
        <xdr:nvSpPr>
          <xdr:cNvPr id="9" name="Rectangle 8"/>
          <xdr:cNvSpPr/>
        </xdr:nvSpPr>
        <xdr:spPr>
          <a:xfrm>
            <a:off x="9674187" y="252470"/>
            <a:ext cx="2868976" cy="48198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26075" y="281816"/>
            <a:ext cx="2748232" cy="434197"/>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9</xdr:col>
          <xdr:colOff>76200</xdr:colOff>
          <xdr:row>7</xdr:row>
          <xdr:rowOff>47625</xdr:rowOff>
        </xdr:from>
        <xdr:to>
          <xdr:col>9</xdr:col>
          <xdr:colOff>752475</xdr:colOff>
          <xdr:row>8</xdr:row>
          <xdr:rowOff>142875</xdr:rowOff>
        </xdr:to>
        <xdr:sp macro="" textlink="">
          <xdr:nvSpPr>
            <xdr:cNvPr id="1936" name="Scroll Bar 912" hidden="1">
              <a:extLst>
                <a:ext uri="{63B3BB69-23CF-44E3-9099-C40C66FF867C}">
                  <a14:compatExt spid="_x0000_s193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13</xdr:col>
      <xdr:colOff>139809</xdr:colOff>
      <xdr:row>2</xdr:row>
      <xdr:rowOff>5738</xdr:rowOff>
    </xdr:from>
    <xdr:to>
      <xdr:col>14</xdr:col>
      <xdr:colOff>974778</xdr:colOff>
      <xdr:row>9</xdr:row>
      <xdr:rowOff>77529</xdr:rowOff>
    </xdr:to>
    <xdr:pic>
      <xdr:nvPicPr>
        <xdr:cNvPr id="2" name="Picture 1"/>
        <xdr:cNvPicPr>
          <a:picLocks noChangeAspect="1"/>
        </xdr:cNvPicPr>
      </xdr:nvPicPr>
      <xdr:blipFill>
        <a:blip xmlns:r="http://schemas.openxmlformats.org/officeDocument/2006/relationships" r:embed="rId3"/>
        <a:stretch>
          <a:fillRect/>
        </a:stretch>
      </xdr:blipFill>
      <xdr:spPr>
        <a:xfrm>
          <a:off x="12566611" y="847482"/>
          <a:ext cx="1876074" cy="1611297"/>
        </a:xfrm>
        <a:prstGeom prst="rect">
          <a:avLst/>
        </a:prstGeom>
      </xdr:spPr>
    </xdr:pic>
    <xdr:clientData/>
  </xdr:twoCellAnchor>
  <xdr:twoCellAnchor>
    <xdr:from>
      <xdr:col>13</xdr:col>
      <xdr:colOff>144107</xdr:colOff>
      <xdr:row>0</xdr:row>
      <xdr:rowOff>244218</xdr:rowOff>
    </xdr:from>
    <xdr:to>
      <xdr:col>15</xdr:col>
      <xdr:colOff>22151</xdr:colOff>
      <xdr:row>1</xdr:row>
      <xdr:rowOff>66452</xdr:rowOff>
    </xdr:to>
    <xdr:grpSp>
      <xdr:nvGrpSpPr>
        <xdr:cNvPr id="8" name="Group 7"/>
        <xdr:cNvGrpSpPr/>
      </xdr:nvGrpSpPr>
      <xdr:grpSpPr>
        <a:xfrm>
          <a:off x="12230274" y="244218"/>
          <a:ext cx="1931210" cy="488984"/>
          <a:chOff x="12670182" y="288530"/>
          <a:chExt cx="1745941" cy="441798"/>
        </a:xfrm>
      </xdr:grpSpPr>
      <xdr:sp macro="" textlink="">
        <xdr:nvSpPr>
          <xdr:cNvPr id="7" name="Rectangle 6"/>
          <xdr:cNvSpPr/>
        </xdr:nvSpPr>
        <xdr:spPr>
          <a:xfrm>
            <a:off x="13405546" y="288530"/>
            <a:ext cx="1010577" cy="43453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6" name="Picture 5"/>
          <xdr:cNvPicPr>
            <a:picLocks noChangeAspect="1"/>
          </xdr:cNvPicPr>
        </xdr:nvPicPr>
        <xdr:blipFill>
          <a:blip xmlns:r="http://schemas.openxmlformats.org/officeDocument/2006/relationships" r:embed="rId4"/>
          <a:stretch>
            <a:fillRect/>
          </a:stretch>
        </xdr:blipFill>
        <xdr:spPr>
          <a:xfrm>
            <a:off x="12670182" y="290071"/>
            <a:ext cx="1620040" cy="440257"/>
          </a:xfrm>
          <a:prstGeom prst="rect">
            <a:avLst/>
          </a:prstGeom>
        </xdr:spPr>
      </xdr:pic>
    </xdr:grpSp>
    <xdr:clientData/>
  </xdr:twoCellAnchor>
  <xdr:twoCellAnchor>
    <xdr:from>
      <xdr:col>1</xdr:col>
      <xdr:colOff>3066</xdr:colOff>
      <xdr:row>4</xdr:row>
      <xdr:rowOff>194975</xdr:rowOff>
    </xdr:from>
    <xdr:to>
      <xdr:col>3</xdr:col>
      <xdr:colOff>9720</xdr:colOff>
      <xdr:row>6</xdr:row>
      <xdr:rowOff>101346</xdr:rowOff>
    </xdr:to>
    <xdr:sp macro="" textlink="">
      <xdr:nvSpPr>
        <xdr:cNvPr id="14" name="Rounded Rectangle 8">
          <a:hlinkClick xmlns:r="http://schemas.openxmlformats.org/officeDocument/2006/relationships" r:id="rId5"/>
          <a:extLst>
            <a:ext uri="{FF2B5EF4-FFF2-40B4-BE49-F238E27FC236}">
              <a16:creationId xmlns:a16="http://schemas.microsoft.com/office/drawing/2014/main" id="{00000000-0008-0000-0000-000005000000}"/>
            </a:ext>
          </a:extLst>
        </xdr:cNvPr>
        <xdr:cNvSpPr>
          <a:spLocks noChangeArrowheads="1"/>
        </xdr:cNvSpPr>
      </xdr:nvSpPr>
      <xdr:spPr bwMode="auto">
        <a:xfrm>
          <a:off x="236331" y="1507092"/>
          <a:ext cx="1484001" cy="334024"/>
        </a:xfrm>
        <a:prstGeom prst="roundRect">
          <a:avLst>
            <a:gd name="adj" fmla="val 16667"/>
          </a:avLst>
        </a:prstGeom>
        <a:solidFill>
          <a:srgbClr val="D9D9D9"/>
        </a:solidFill>
        <a:ln w="9525">
          <a:solidFill>
            <a:srgbClr val="595959"/>
          </a:solidFill>
          <a:round/>
          <a:headEnd/>
          <a:tailEnd/>
        </a:ln>
        <a:effectLst>
          <a:outerShdw blurRad="50800" dist="38100" dir="2700000" algn="tl" rotWithShape="0">
            <a:srgbClr val="808080">
              <a:alpha val="39999"/>
            </a:srgbClr>
          </a:outerShdw>
        </a:effectLst>
        <a:scene3d>
          <a:camera prst="orthographicFront"/>
          <a:lightRig rig="threePt" dir="t"/>
        </a:scene3d>
        <a:sp3d contourW="12700" prstMaterial="matte">
          <a:bevelT w="88900"/>
          <a:bevelB w="88900" h="120650"/>
          <a:contourClr>
            <a:schemeClr val="accent1">
              <a:lumMod val="40000"/>
              <a:lumOff val="60000"/>
            </a:schemeClr>
          </a:contourClr>
        </a:sp3d>
      </xdr:spPr>
      <xdr:txBody>
        <a:bodyPr vertOverflow="clip" wrap="square" lIns="27432" tIns="27432" rIns="27432" bIns="27432" anchor="b" upright="1"/>
        <a:lstStyle/>
        <a:p>
          <a:pPr algn="ctr" rtl="0">
            <a:defRPr sz="1000"/>
          </a:pPr>
          <a:r>
            <a:rPr lang="fi-FI" sz="1200" b="1" i="0" u="none" strike="noStrike" baseline="0">
              <a:solidFill>
                <a:schemeClr val="tx2">
                  <a:lumMod val="75000"/>
                </a:schemeClr>
              </a:solidFill>
              <a:latin typeface="Cambria" panose="02040503050406030204" pitchFamily="18" charset="0"/>
            </a:rPr>
            <a:t>Tukiraportti</a:t>
          </a:r>
        </a:p>
        <a:p>
          <a:pPr algn="ctr" rtl="0">
            <a:defRPr sz="1000"/>
          </a:pPr>
          <a:endParaRPr lang="fi-FI" sz="300" b="1" i="0" u="none" strike="noStrike" baseline="0">
            <a:solidFill>
              <a:schemeClr val="tx2">
                <a:lumMod val="75000"/>
              </a:schemeClr>
            </a:solidFill>
            <a:latin typeface="Cambria" panose="020405030504060302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161924</xdr:colOff>
      <xdr:row>1</xdr:row>
      <xdr:rowOff>104775</xdr:rowOff>
    </xdr:from>
    <xdr:to>
      <xdr:col>2</xdr:col>
      <xdr:colOff>133349</xdr:colOff>
      <xdr:row>2</xdr:row>
      <xdr:rowOff>142875</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0200-000003000000}"/>
            </a:ext>
          </a:extLst>
        </xdr:cNvPr>
        <xdr:cNvSpPr>
          <a:spLocks noChangeArrowheads="1"/>
        </xdr:cNvSpPr>
      </xdr:nvSpPr>
      <xdr:spPr bwMode="auto">
        <a:xfrm>
          <a:off x="161924" y="200025"/>
          <a:ext cx="942975" cy="323850"/>
        </a:xfrm>
        <a:prstGeom prst="roundRect">
          <a:avLst>
            <a:gd name="adj" fmla="val 16667"/>
          </a:avLst>
        </a:prstGeom>
        <a:solidFill>
          <a:srgbClr val="D9D9D9"/>
        </a:solidFill>
        <a:ln w="9525">
          <a:solidFill>
            <a:srgbClr val="595959"/>
          </a:solidFill>
          <a:round/>
          <a:headEnd/>
          <a:tailEnd/>
        </a:ln>
        <a:effectLst>
          <a:outerShdw blurRad="50800" dist="38100" dir="2700000" algn="tl" rotWithShape="0">
            <a:srgbClr val="808080">
              <a:alpha val="39999"/>
            </a:srgbClr>
          </a:outerShdw>
        </a:effectLst>
        <a:scene3d>
          <a:camera prst="orthographicFront"/>
          <a:lightRig rig="threePt" dir="t"/>
        </a:scene3d>
        <a:sp3d>
          <a:bevelT/>
          <a:bevelB/>
        </a:sp3d>
      </xdr:spPr>
      <xdr:txBody>
        <a:bodyPr vertOverflow="clip" wrap="square" lIns="27432" tIns="27432" rIns="27432" bIns="27432" anchor="ctr" upright="1"/>
        <a:lstStyle/>
        <a:p>
          <a:pPr algn="ctr" rtl="0">
            <a:defRPr sz="1000"/>
          </a:pPr>
          <a:r>
            <a:rPr lang="fi-FI" sz="1200" b="1" i="0" u="none" strike="noStrike" baseline="0">
              <a:solidFill>
                <a:schemeClr val="tx2">
                  <a:lumMod val="75000"/>
                </a:schemeClr>
              </a:solidFill>
              <a:latin typeface="Cambria" panose="02040503050406030204" pitchFamily="18" charset="0"/>
              <a:ea typeface="+mn-ea"/>
              <a:cs typeface="+mn-cs"/>
            </a:rPr>
            <a:t>Päävalinta</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152400</xdr:colOff>
      <xdr:row>31</xdr:row>
      <xdr:rowOff>99060</xdr:rowOff>
    </xdr:from>
    <xdr:to>
      <xdr:col>9</xdr:col>
      <xdr:colOff>746760</xdr:colOff>
      <xdr:row>51</xdr:row>
      <xdr:rowOff>152400</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167640</xdr:colOff>
      <xdr:row>52</xdr:row>
      <xdr:rowOff>110491</xdr:rowOff>
    </xdr:from>
    <xdr:to>
      <xdr:col>9</xdr:col>
      <xdr:colOff>762000</xdr:colOff>
      <xdr:row>60</xdr:row>
      <xdr:rowOff>313629</xdr:rowOff>
    </xdr:to>
    <xdr:graphicFrame macro="">
      <xdr:nvGraphicFramePr>
        <xdr:cNvPr id="9" name="Chart 8">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69696</xdr:colOff>
      <xdr:row>1</xdr:row>
      <xdr:rowOff>0</xdr:rowOff>
    </xdr:from>
    <xdr:to>
      <xdr:col>9</xdr:col>
      <xdr:colOff>67929</xdr:colOff>
      <xdr:row>2</xdr:row>
      <xdr:rowOff>76200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761464" y="92927"/>
          <a:ext cx="2321405" cy="366596"/>
        </a:xfrm>
        <a:prstGeom prst="rect">
          <a:avLst/>
        </a:prstGeom>
      </xdr:spPr>
    </xdr:pic>
    <xdr:clientData/>
  </xdr:twoCellAnchor>
  <xdr:twoCellAnchor>
    <xdr:from>
      <xdr:col>7</xdr:col>
      <xdr:colOff>255548</xdr:colOff>
      <xdr:row>3</xdr:row>
      <xdr:rowOff>139390</xdr:rowOff>
    </xdr:from>
    <xdr:to>
      <xdr:col>9</xdr:col>
      <xdr:colOff>81311</xdr:colOff>
      <xdr:row>4</xdr:row>
      <xdr:rowOff>92927</xdr:rowOff>
    </xdr:to>
    <xdr:grpSp>
      <xdr:nvGrpSpPr>
        <xdr:cNvPr id="10" name="Group 9"/>
        <xdr:cNvGrpSpPr/>
      </xdr:nvGrpSpPr>
      <xdr:grpSpPr>
        <a:xfrm>
          <a:off x="6877328" y="672790"/>
          <a:ext cx="1441203" cy="380257"/>
          <a:chOff x="12670182" y="288530"/>
          <a:chExt cx="1745941" cy="441798"/>
        </a:xfrm>
      </xdr:grpSpPr>
      <xdr:sp macro="" textlink="">
        <xdr:nvSpPr>
          <xdr:cNvPr id="11" name="Rectangle 10"/>
          <xdr:cNvSpPr/>
        </xdr:nvSpPr>
        <xdr:spPr>
          <a:xfrm>
            <a:off x="13405546" y="288530"/>
            <a:ext cx="1010577" cy="43453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12" name="Picture 11"/>
          <xdr:cNvPicPr>
            <a:picLocks noChangeAspect="1"/>
          </xdr:cNvPicPr>
        </xdr:nvPicPr>
        <xdr:blipFill>
          <a:blip xmlns:r="http://schemas.openxmlformats.org/officeDocument/2006/relationships" r:embed="rId4"/>
          <a:stretch>
            <a:fillRect/>
          </a:stretch>
        </xdr:blipFill>
        <xdr:spPr>
          <a:xfrm>
            <a:off x="12670182" y="290071"/>
            <a:ext cx="1620040" cy="440257"/>
          </a:xfrm>
          <a:prstGeom prst="rect">
            <a:avLst/>
          </a:prstGeom>
        </xdr:spPr>
      </xdr:pic>
    </xdr:grpSp>
    <xdr:clientData/>
  </xdr:twoCellAnchor>
  <xdr:twoCellAnchor editAs="oneCell">
    <xdr:from>
      <xdr:col>6</xdr:col>
      <xdr:colOff>58080</xdr:colOff>
      <xdr:row>3</xdr:row>
      <xdr:rowOff>46465</xdr:rowOff>
    </xdr:from>
    <xdr:to>
      <xdr:col>7</xdr:col>
      <xdr:colOff>22704</xdr:colOff>
      <xdr:row>4</xdr:row>
      <xdr:rowOff>201497</xdr:rowOff>
    </xdr:to>
    <xdr:pic>
      <xdr:nvPicPr>
        <xdr:cNvPr id="13" name="Picture 12"/>
        <xdr:cNvPicPr>
          <a:picLocks noChangeAspect="1"/>
        </xdr:cNvPicPr>
      </xdr:nvPicPr>
      <xdr:blipFill>
        <a:blip xmlns:r="http://schemas.openxmlformats.org/officeDocument/2006/relationships" r:embed="rId5"/>
        <a:stretch>
          <a:fillRect/>
        </a:stretch>
      </xdr:blipFill>
      <xdr:spPr>
        <a:xfrm>
          <a:off x="5749848" y="580794"/>
          <a:ext cx="719656" cy="584819"/>
        </a:xfrm>
        <a:prstGeom prst="rect">
          <a:avLst/>
        </a:prstGeom>
      </xdr:spPr>
    </xdr:pic>
    <xdr:clientData/>
  </xdr:twoCellAnchor>
  <xdr:twoCellAnchor>
    <xdr:from>
      <xdr:col>0</xdr:col>
      <xdr:colOff>97194</xdr:colOff>
      <xdr:row>1</xdr:row>
      <xdr:rowOff>19438</xdr:rowOff>
    </xdr:from>
    <xdr:to>
      <xdr:col>2</xdr:col>
      <xdr:colOff>408214</xdr:colOff>
      <xdr:row>2</xdr:row>
      <xdr:rowOff>61225</xdr:rowOff>
    </xdr:to>
    <xdr:sp macro="" textlink="">
      <xdr:nvSpPr>
        <xdr:cNvPr id="15" name="Rounded Rectangle 8">
          <a:hlinkClick xmlns:r="http://schemas.openxmlformats.org/officeDocument/2006/relationships" r:id="rId6"/>
          <a:extLst>
            <a:ext uri="{FF2B5EF4-FFF2-40B4-BE49-F238E27FC236}">
              <a16:creationId xmlns:a16="http://schemas.microsoft.com/office/drawing/2014/main" id="{00000000-0008-0000-0000-000005000000}"/>
            </a:ext>
          </a:extLst>
        </xdr:cNvPr>
        <xdr:cNvSpPr>
          <a:spLocks noChangeArrowheads="1"/>
        </xdr:cNvSpPr>
      </xdr:nvSpPr>
      <xdr:spPr bwMode="auto">
        <a:xfrm>
          <a:off x="97194" y="116632"/>
          <a:ext cx="923341" cy="323649"/>
        </a:xfrm>
        <a:prstGeom prst="roundRect">
          <a:avLst>
            <a:gd name="adj" fmla="val 16667"/>
          </a:avLst>
        </a:prstGeom>
        <a:solidFill>
          <a:srgbClr val="D9D9D9"/>
        </a:solidFill>
        <a:ln w="9525">
          <a:solidFill>
            <a:srgbClr val="595959"/>
          </a:solidFill>
          <a:round/>
          <a:headEnd/>
          <a:tailEnd/>
        </a:ln>
        <a:effectLst>
          <a:outerShdw blurRad="50800" dist="38100" dir="2700000" algn="tl" rotWithShape="0">
            <a:srgbClr val="808080">
              <a:alpha val="39999"/>
            </a:srgbClr>
          </a:outerShdw>
        </a:effectLst>
        <a:scene3d>
          <a:camera prst="orthographicFront"/>
          <a:lightRig rig="threePt" dir="t"/>
        </a:scene3d>
        <a:sp3d contourW="12700" prstMaterial="matte">
          <a:bevelT w="88900"/>
          <a:bevelB w="88900" h="120650"/>
          <a:contourClr>
            <a:schemeClr val="accent1">
              <a:lumMod val="40000"/>
              <a:lumOff val="60000"/>
            </a:schemeClr>
          </a:contourClr>
        </a:sp3d>
      </xdr:spPr>
      <xdr:txBody>
        <a:bodyPr vertOverflow="clip" wrap="square" lIns="27432" tIns="27432" rIns="27432" bIns="27432" anchor="b" upright="1"/>
        <a:lstStyle/>
        <a:p>
          <a:pPr algn="ctr" rtl="0">
            <a:defRPr sz="1000"/>
          </a:pPr>
          <a:r>
            <a:rPr lang="fi-FI" sz="1200" b="1" i="0" u="none" strike="noStrike" baseline="0">
              <a:solidFill>
                <a:schemeClr val="tx2">
                  <a:lumMod val="75000"/>
                </a:schemeClr>
              </a:solidFill>
              <a:latin typeface="Cambria" panose="02040503050406030204" pitchFamily="18" charset="0"/>
            </a:rPr>
            <a:t>Päävalinta</a:t>
          </a:r>
        </a:p>
        <a:p>
          <a:pPr algn="ctr" rtl="0">
            <a:defRPr sz="1000"/>
          </a:pPr>
          <a:endParaRPr lang="fi-FI" sz="300" b="1" i="0" u="none" strike="noStrike" baseline="0">
            <a:solidFill>
              <a:schemeClr val="tx2">
                <a:lumMod val="75000"/>
              </a:schemeClr>
            </a:solidFill>
            <a:latin typeface="Cambria" panose="02040503050406030204" pitchFamily="18" charset="0"/>
          </a:endParaRP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O131"/>
  <sheetViews>
    <sheetView showRowColHeaders="0" tabSelected="1" zoomScale="90" zoomScaleNormal="90" workbookViewId="0">
      <selection activeCell="E16" sqref="E16"/>
    </sheetView>
  </sheetViews>
  <sheetFormatPr defaultColWidth="8.85546875" defaultRowHeight="15" x14ac:dyDescent="0.25"/>
  <cols>
    <col min="1" max="1" width="3.42578125" style="2" customWidth="1"/>
    <col min="2" max="3" width="11.140625" style="2" customWidth="1"/>
    <col min="4" max="4" width="12" style="2" customWidth="1"/>
    <col min="5" max="5" width="10.7109375" style="2" customWidth="1"/>
    <col min="6" max="6" width="46" style="2" customWidth="1"/>
    <col min="7" max="7" width="8.85546875" style="2" customWidth="1"/>
    <col min="8" max="8" width="14.42578125" style="2" customWidth="1"/>
    <col min="9" max="9" width="12.5703125" style="2" customWidth="1"/>
    <col min="10" max="10" width="12.28515625" style="2" customWidth="1"/>
    <col min="11" max="11" width="15" style="2" customWidth="1"/>
    <col min="12" max="12" width="12.28515625" style="2" customWidth="1"/>
    <col min="13" max="13" width="11.28515625" style="2" customWidth="1"/>
    <col min="14" max="15" width="15.42578125" style="2" customWidth="1"/>
    <col min="16" max="17" width="10.140625" style="2" customWidth="1"/>
    <col min="18" max="18" width="10.42578125" style="2" customWidth="1"/>
    <col min="19" max="19" width="10.42578125" style="522" hidden="1" customWidth="1"/>
    <col min="20" max="20" width="10.42578125" style="2" customWidth="1"/>
    <col min="21" max="25" width="10.140625" style="2" customWidth="1"/>
    <col min="26" max="27" width="12.7109375" style="2" customWidth="1"/>
    <col min="28" max="28" width="15.140625" style="2" customWidth="1"/>
    <col min="29" max="30" width="15" style="2" customWidth="1"/>
    <col min="31" max="35" width="9.5703125" style="2" customWidth="1"/>
    <col min="36" max="36" width="12.5703125" style="2" customWidth="1"/>
    <col min="37" max="37" width="9.28515625" style="2" customWidth="1"/>
    <col min="38" max="38" width="10.28515625" style="2" bestFit="1" customWidth="1"/>
    <col min="39" max="39" width="8.85546875" style="2"/>
    <col min="40" max="43" width="10.28515625" style="2" bestFit="1" customWidth="1"/>
    <col min="44" max="45" width="9.28515625" style="2" bestFit="1" customWidth="1"/>
    <col min="46" max="16384" width="8.85546875" style="2"/>
  </cols>
  <sheetData>
    <row r="1" spans="1:30" ht="52.5" customHeight="1" x14ac:dyDescent="0.4">
      <c r="A1" s="160"/>
      <c r="B1" s="544" t="s">
        <v>155</v>
      </c>
      <c r="C1" s="160"/>
      <c r="D1" s="160"/>
      <c r="E1" s="160"/>
      <c r="F1" s="160"/>
      <c r="G1" s="160"/>
      <c r="H1" s="545" t="s">
        <v>113</v>
      </c>
      <c r="I1" s="160"/>
      <c r="J1" s="160"/>
      <c r="K1" s="160"/>
      <c r="L1" s="160"/>
      <c r="M1" s="160"/>
      <c r="N1" s="160"/>
      <c r="O1" s="160"/>
      <c r="P1" s="1"/>
      <c r="Q1" s="1"/>
      <c r="R1" s="1"/>
      <c r="S1" s="508"/>
      <c r="T1" s="1"/>
      <c r="U1" s="1"/>
      <c r="V1" s="1"/>
      <c r="W1" s="1"/>
      <c r="X1" s="1"/>
      <c r="Y1" s="1"/>
      <c r="Z1" s="1"/>
      <c r="AA1" s="1"/>
      <c r="AB1" s="1"/>
      <c r="AC1" s="1"/>
      <c r="AD1" s="1"/>
    </row>
    <row r="2" spans="1:30" ht="14.25" customHeight="1" x14ac:dyDescent="0.25">
      <c r="A2" s="160"/>
      <c r="B2" s="160"/>
      <c r="C2" s="160"/>
      <c r="D2" s="160"/>
      <c r="E2" s="465" t="s">
        <v>156</v>
      </c>
      <c r="F2" s="495"/>
      <c r="G2" s="160"/>
      <c r="H2" s="160"/>
      <c r="I2" s="160"/>
      <c r="J2" s="160"/>
      <c r="K2" s="160"/>
      <c r="L2" s="160"/>
      <c r="M2" s="160"/>
      <c r="N2" s="160"/>
      <c r="O2" s="160"/>
      <c r="P2" s="1"/>
      <c r="Q2" s="1"/>
      <c r="R2" s="1"/>
      <c r="S2" s="509">
        <v>4</v>
      </c>
      <c r="T2" s="487"/>
      <c r="U2" s="1"/>
      <c r="V2" s="1"/>
      <c r="W2" s="1"/>
      <c r="X2" s="1"/>
      <c r="Y2" s="1"/>
      <c r="Z2" s="1"/>
      <c r="AA2" s="1"/>
      <c r="AB2" s="1"/>
      <c r="AC2" s="1"/>
      <c r="AD2" s="1"/>
    </row>
    <row r="3" spans="1:30" ht="19.5" customHeight="1" x14ac:dyDescent="0.3">
      <c r="A3" s="160"/>
      <c r="B3" s="160"/>
      <c r="C3" s="160"/>
      <c r="D3" s="160"/>
      <c r="E3" s="161" t="s">
        <v>157</v>
      </c>
      <c r="F3" s="160"/>
      <c r="G3" s="160"/>
      <c r="H3" s="461" t="s">
        <v>0</v>
      </c>
      <c r="I3" s="461"/>
      <c r="J3" s="294"/>
      <c r="K3" s="247" t="s">
        <v>109</v>
      </c>
      <c r="L3" s="248">
        <f>I7-I6</f>
        <v>43466</v>
      </c>
      <c r="M3" s="245"/>
      <c r="N3" s="160"/>
      <c r="O3" s="160"/>
      <c r="P3" s="1"/>
      <c r="Q3" s="1"/>
      <c r="R3" s="1"/>
      <c r="S3" s="508"/>
      <c r="T3" s="1"/>
      <c r="U3" s="1"/>
      <c r="V3" s="1"/>
      <c r="W3" s="1"/>
      <c r="X3" s="1"/>
      <c r="Y3" s="1"/>
      <c r="Z3" s="1"/>
      <c r="AA3" s="1"/>
      <c r="AB3" s="1"/>
      <c r="AC3" s="1"/>
      <c r="AD3" s="1"/>
    </row>
    <row r="4" spans="1:30" ht="16.5" customHeight="1" thickBot="1" x14ac:dyDescent="0.35">
      <c r="A4" s="160"/>
      <c r="B4" s="160"/>
      <c r="C4" s="160"/>
      <c r="D4" s="160"/>
      <c r="E4" s="160"/>
      <c r="F4" s="160"/>
      <c r="G4" s="163"/>
      <c r="H4" s="490" t="s">
        <v>148</v>
      </c>
      <c r="I4" s="276">
        <v>0</v>
      </c>
      <c r="J4" s="281"/>
      <c r="K4" s="246" t="s">
        <v>2</v>
      </c>
      <c r="L4" s="246" t="s">
        <v>3</v>
      </c>
      <c r="M4" s="246" t="s">
        <v>4</v>
      </c>
      <c r="N4" s="160"/>
      <c r="O4" s="160"/>
      <c r="P4" s="1"/>
      <c r="Q4" s="1"/>
      <c r="R4" s="1"/>
      <c r="S4" s="508"/>
      <c r="T4" s="1"/>
      <c r="U4" s="1"/>
      <c r="V4" s="1"/>
      <c r="W4" s="1"/>
      <c r="X4" s="1"/>
      <c r="Y4" s="1"/>
      <c r="Z4" s="1"/>
      <c r="AA4" s="1"/>
      <c r="AB4" s="1"/>
      <c r="AC4" s="1"/>
      <c r="AD4" s="1"/>
    </row>
    <row r="5" spans="1:30" ht="16.5" customHeight="1" thickTop="1" x14ac:dyDescent="0.3">
      <c r="A5" s="160"/>
      <c r="B5" s="160"/>
      <c r="C5" s="160"/>
      <c r="D5" s="160"/>
      <c r="E5" s="164" t="s">
        <v>108</v>
      </c>
      <c r="F5" s="464" t="s">
        <v>151</v>
      </c>
      <c r="G5" s="163"/>
      <c r="H5" s="490" t="s">
        <v>1</v>
      </c>
      <c r="I5" s="277">
        <v>0</v>
      </c>
      <c r="J5" s="281"/>
      <c r="K5" s="249" t="s">
        <v>6</v>
      </c>
      <c r="L5" s="165">
        <f>EDATE(L3,6)-1</f>
        <v>43646</v>
      </c>
      <c r="M5" s="250">
        <f>IF(AA46&lt;0,0,AA46)</f>
        <v>0</v>
      </c>
      <c r="N5" s="160"/>
      <c r="O5" s="160"/>
      <c r="P5" s="1"/>
      <c r="Q5" s="1"/>
      <c r="R5" s="1"/>
      <c r="S5" s="508"/>
      <c r="T5" s="1"/>
      <c r="U5" s="1"/>
      <c r="V5" s="1"/>
      <c r="W5" s="1"/>
      <c r="X5" s="1"/>
      <c r="Y5" s="1"/>
      <c r="Z5" s="1"/>
      <c r="AA5" s="1"/>
      <c r="AB5" s="1"/>
      <c r="AC5" s="1"/>
      <c r="AD5" s="1"/>
    </row>
    <row r="6" spans="1:30" ht="16.5" customHeight="1" x14ac:dyDescent="0.3">
      <c r="A6" s="160"/>
      <c r="B6" s="160"/>
      <c r="C6" s="160"/>
      <c r="D6" s="160"/>
      <c r="E6" s="164" t="s">
        <v>7</v>
      </c>
      <c r="F6" s="464" t="s">
        <v>152</v>
      </c>
      <c r="G6" s="163"/>
      <c r="H6" s="490" t="s">
        <v>8</v>
      </c>
      <c r="I6" s="278">
        <v>0</v>
      </c>
      <c r="J6" s="281" t="s">
        <v>111</v>
      </c>
      <c r="K6" s="251" t="s">
        <v>105</v>
      </c>
      <c r="L6" s="165">
        <f>EDATE(L3,12)-1</f>
        <v>43830</v>
      </c>
      <c r="M6" s="252">
        <f>IF(I8=0,0,AB46)</f>
        <v>0</v>
      </c>
      <c r="N6" s="160"/>
      <c r="O6" s="160"/>
      <c r="P6" s="1"/>
      <c r="Q6" s="1"/>
      <c r="R6" s="1"/>
      <c r="S6" s="508"/>
      <c r="T6" s="1"/>
      <c r="U6" s="1"/>
      <c r="V6" s="1"/>
      <c r="W6" s="1"/>
      <c r="X6" s="1"/>
      <c r="Y6" s="1"/>
      <c r="Z6" s="1"/>
      <c r="AA6" s="1"/>
      <c r="AB6" s="1"/>
      <c r="AC6" s="1"/>
      <c r="AD6" s="1"/>
    </row>
    <row r="7" spans="1:30" ht="16.5" customHeight="1" thickBot="1" x14ac:dyDescent="0.35">
      <c r="A7" s="160"/>
      <c r="B7" s="160"/>
      <c r="C7" s="160"/>
      <c r="D7" s="160"/>
      <c r="E7" s="166" t="s">
        <v>9</v>
      </c>
      <c r="F7" s="295">
        <f>IF(I8=0,0,ROUND(E8/I8,2))</f>
        <v>0</v>
      </c>
      <c r="G7" s="163"/>
      <c r="H7" s="491" t="s">
        <v>5</v>
      </c>
      <c r="I7" s="279">
        <v>43466</v>
      </c>
      <c r="J7" s="282">
        <f>EDATE(L3,20)-I7</f>
        <v>609</v>
      </c>
      <c r="K7" s="251" t="s">
        <v>106</v>
      </c>
      <c r="L7" s="165">
        <f>EDATE(L3,20)-1</f>
        <v>44074</v>
      </c>
      <c r="M7" s="252">
        <f>AC46</f>
        <v>0</v>
      </c>
      <c r="N7" s="160"/>
      <c r="O7" s="160"/>
      <c r="P7" s="1"/>
      <c r="Q7" s="1"/>
      <c r="R7" s="1"/>
      <c r="S7" s="508"/>
      <c r="T7" s="1"/>
      <c r="U7" s="1"/>
      <c r="V7" s="1"/>
      <c r="W7" s="1"/>
      <c r="X7" s="1"/>
      <c r="Y7" s="1"/>
      <c r="Z7" s="1"/>
      <c r="AA7" s="1"/>
      <c r="AB7" s="1"/>
      <c r="AC7" s="1"/>
      <c r="AD7" s="1"/>
    </row>
    <row r="8" spans="1:30" ht="18.75" customHeight="1" thickBot="1" x14ac:dyDescent="0.35">
      <c r="A8" s="160"/>
      <c r="B8" s="546" t="s">
        <v>112</v>
      </c>
      <c r="C8" s="547"/>
      <c r="D8" s="160"/>
      <c r="E8" s="488">
        <f ca="1">M27</f>
        <v>0</v>
      </c>
      <c r="F8" s="123" t="str">
        <f>"Tuki yhtä eläintä kohden " &amp; I8 &amp; " pv:n tarkastelujaksolla"</f>
        <v>Tuki yhtä eläintä kohden 0 pv:n tarkastelujaksolla</v>
      </c>
      <c r="G8" s="163"/>
      <c r="H8" s="490" t="s">
        <v>62</v>
      </c>
      <c r="I8" s="280">
        <v>0</v>
      </c>
      <c r="J8" s="283"/>
      <c r="K8" s="251" t="s">
        <v>104</v>
      </c>
      <c r="L8" s="165">
        <f>EDATE(L3,24)-1</f>
        <v>44196</v>
      </c>
      <c r="M8" s="252">
        <f>AD46</f>
        <v>0</v>
      </c>
      <c r="N8" s="160"/>
      <c r="O8" s="160"/>
      <c r="P8" s="1"/>
      <c r="Q8" s="1"/>
      <c r="R8" s="1"/>
      <c r="S8" s="508"/>
      <c r="T8" s="1"/>
      <c r="U8" s="1"/>
      <c r="V8" s="1"/>
      <c r="W8" s="1"/>
      <c r="X8" s="1"/>
      <c r="Y8" s="1"/>
      <c r="Z8" s="1"/>
      <c r="AA8" s="1"/>
      <c r="AB8" s="1"/>
      <c r="AC8" s="1"/>
      <c r="AD8" s="1"/>
    </row>
    <row r="9" spans="1:30" ht="16.5" customHeight="1" thickBot="1" x14ac:dyDescent="0.35">
      <c r="A9" s="160"/>
      <c r="B9" s="160"/>
      <c r="C9" s="160"/>
      <c r="D9" s="160"/>
      <c r="E9" s="488">
        <f ca="1">N27</f>
        <v>0</v>
      </c>
      <c r="F9" s="3" t="s">
        <v>11</v>
      </c>
      <c r="G9" s="163"/>
      <c r="H9" s="490" t="s">
        <v>146</v>
      </c>
      <c r="I9" s="478">
        <f>I6+I8</f>
        <v>0</v>
      </c>
      <c r="J9" s="284"/>
      <c r="K9" s="253" t="s">
        <v>107</v>
      </c>
      <c r="L9" s="167">
        <f>EDATE(L3,24)</f>
        <v>44197</v>
      </c>
      <c r="M9" s="254">
        <f>AE46</f>
        <v>0</v>
      </c>
      <c r="N9" s="160"/>
      <c r="O9" s="160"/>
      <c r="P9" s="1"/>
      <c r="Q9" s="1"/>
      <c r="R9" s="1"/>
      <c r="S9" s="508"/>
      <c r="T9" s="1"/>
      <c r="U9" s="1"/>
      <c r="V9" s="1"/>
      <c r="W9" s="1"/>
      <c r="X9" s="1"/>
      <c r="Y9" s="1"/>
      <c r="Z9" s="1"/>
      <c r="AA9" s="1"/>
      <c r="AB9" s="1"/>
      <c r="AC9" s="1"/>
      <c r="AD9" s="1"/>
    </row>
    <row r="10" spans="1:30" ht="18" customHeight="1" thickTop="1" x14ac:dyDescent="0.3">
      <c r="A10" s="160"/>
      <c r="B10" s="160"/>
      <c r="C10" s="160"/>
      <c r="D10" s="160"/>
      <c r="E10" s="489">
        <f ca="1">O27</f>
        <v>0</v>
      </c>
      <c r="F10" s="168">
        <f>I5</f>
        <v>0</v>
      </c>
      <c r="G10" s="163"/>
      <c r="H10" s="462" t="s">
        <v>110</v>
      </c>
      <c r="I10" s="463">
        <f>(1-J31)^I8*I4</f>
        <v>0</v>
      </c>
      <c r="J10" s="255"/>
      <c r="K10" s="460" t="s">
        <v>142</v>
      </c>
      <c r="L10" s="256">
        <f>I7+I8</f>
        <v>43466</v>
      </c>
      <c r="M10" s="244">
        <f>SUM(M5:M9)</f>
        <v>0</v>
      </c>
      <c r="N10" s="475"/>
      <c r="O10" s="160"/>
      <c r="P10" s="1"/>
      <c r="Q10" s="1"/>
      <c r="R10" s="1"/>
      <c r="S10" s="508"/>
      <c r="T10" s="1"/>
      <c r="U10" s="1"/>
      <c r="V10" s="1"/>
      <c r="W10" s="1"/>
      <c r="X10" s="1"/>
      <c r="Y10" s="1"/>
      <c r="Z10" s="1"/>
      <c r="AA10" s="1"/>
      <c r="AB10" s="1"/>
      <c r="AC10" s="1"/>
      <c r="AD10" s="1"/>
    </row>
    <row r="11" spans="1:30" ht="15.75" customHeight="1" x14ac:dyDescent="0.25">
      <c r="A11" s="160"/>
      <c r="B11" s="160"/>
      <c r="C11" s="160"/>
      <c r="D11" s="160"/>
      <c r="E11" s="160"/>
      <c r="F11" s="160"/>
      <c r="G11" s="160"/>
      <c r="H11" s="160"/>
      <c r="I11" s="160"/>
      <c r="J11" s="160"/>
      <c r="K11" s="160"/>
      <c r="L11" s="169">
        <f>L3+I9</f>
        <v>43466</v>
      </c>
      <c r="M11" s="169"/>
      <c r="N11" s="169"/>
      <c r="O11" s="160"/>
      <c r="P11" s="1"/>
      <c r="Q11" s="1"/>
      <c r="R11" s="1"/>
      <c r="S11" s="508"/>
      <c r="T11" s="1"/>
      <c r="U11" s="1"/>
      <c r="V11" s="1"/>
      <c r="W11" s="1"/>
      <c r="X11" s="1"/>
      <c r="Y11" s="1"/>
      <c r="Z11" s="1"/>
      <c r="AA11" s="1"/>
      <c r="AB11" s="1"/>
      <c r="AC11" s="1"/>
      <c r="AD11" s="1"/>
    </row>
    <row r="12" spans="1:30" ht="1.5" customHeight="1" thickBot="1" x14ac:dyDescent="0.3">
      <c r="A12" s="160"/>
      <c r="B12" s="162"/>
      <c r="C12" s="162"/>
      <c r="D12" s="162"/>
      <c r="E12" s="162"/>
      <c r="F12" s="162"/>
      <c r="G12" s="162"/>
      <c r="H12" s="162"/>
      <c r="I12" s="162"/>
      <c r="J12" s="162"/>
      <c r="K12" s="162"/>
      <c r="L12" s="160"/>
      <c r="M12" s="162"/>
      <c r="N12" s="162"/>
      <c r="O12" s="160"/>
      <c r="P12" s="1"/>
      <c r="Q12" s="1"/>
      <c r="R12" s="1"/>
      <c r="S12" s="508"/>
      <c r="T12" s="1"/>
      <c r="U12" s="1"/>
      <c r="V12" s="1"/>
      <c r="W12" s="1"/>
      <c r="X12" s="1"/>
      <c r="Y12" s="1"/>
      <c r="Z12" s="1"/>
      <c r="AA12" s="1"/>
      <c r="AB12" s="1"/>
      <c r="AC12" s="1"/>
      <c r="AD12" s="1"/>
    </row>
    <row r="13" spans="1:30" ht="20.25" customHeight="1" thickBot="1" x14ac:dyDescent="0.3">
      <c r="A13" s="160"/>
      <c r="B13" s="497" t="s">
        <v>143</v>
      </c>
      <c r="C13" s="170"/>
      <c r="D13" s="171"/>
      <c r="E13" s="172" t="s">
        <v>12</v>
      </c>
      <c r="F13" s="173" t="s">
        <v>149</v>
      </c>
      <c r="G13" s="174"/>
      <c r="H13" s="124" t="str">
        <f ca="1" xml:space="preserve"> INDIRECT("Tukitaulukko!"&amp;ADDRESS(8,AA$30+5))&amp; " "</f>
        <v xml:space="preserve">C1 </v>
      </c>
      <c r="I13" s="175">
        <v>0.4</v>
      </c>
      <c r="J13" s="176">
        <v>0.6</v>
      </c>
      <c r="K13" s="177">
        <v>1</v>
      </c>
      <c r="L13" s="178" t="s">
        <v>14</v>
      </c>
      <c r="M13" s="179" t="s">
        <v>61</v>
      </c>
      <c r="N13" s="258" t="s">
        <v>59</v>
      </c>
      <c r="O13" s="180" t="str">
        <f>"Yht."&amp;F10*100 &amp; "% kuoll"</f>
        <v>Yht.0% kuoll</v>
      </c>
      <c r="P13" s="1"/>
      <c r="Q13" s="1"/>
      <c r="R13" s="1"/>
      <c r="S13" s="508"/>
      <c r="T13" s="1"/>
      <c r="U13" s="1"/>
      <c r="V13" s="1"/>
      <c r="W13" s="1"/>
      <c r="X13" s="1"/>
      <c r="Y13" s="1"/>
      <c r="Z13" s="1"/>
      <c r="AA13" s="1"/>
      <c r="AB13" s="1"/>
      <c r="AC13" s="1"/>
      <c r="AD13" s="1"/>
    </row>
    <row r="14" spans="1:30" ht="17.25" thickBot="1" x14ac:dyDescent="0.35">
      <c r="A14" s="160"/>
      <c r="B14" s="468" t="s">
        <v>144</v>
      </c>
      <c r="C14" s="479">
        <f>L14/365*I4</f>
        <v>0</v>
      </c>
      <c r="D14" s="181" t="str">
        <f>IF(OR(E14&gt;1,E14&lt;0),"Virhe: valittu=1","")</f>
        <v/>
      </c>
      <c r="E14" s="4">
        <v>0</v>
      </c>
      <c r="F14" s="182" t="str">
        <f>Tukitaulukko!E9</f>
        <v>Eu-nautapalkkio (6kk-alle 20kk) (€/eläin/tukivuosi)</v>
      </c>
      <c r="G14" s="183"/>
      <c r="H14" s="263">
        <f ca="1">INDIRECT("Tukitaulukko!"&amp;ADDRESS(9,AA$30+5))</f>
        <v>160</v>
      </c>
      <c r="I14" s="260"/>
      <c r="J14" s="184"/>
      <c r="K14" s="261">
        <f>(M6+M7)*E14</f>
        <v>0</v>
      </c>
      <c r="L14" s="185">
        <f>(M6+M7)*E14</f>
        <v>0</v>
      </c>
      <c r="M14" s="186">
        <f ca="1">L14/365*H14*E14</f>
        <v>0</v>
      </c>
      <c r="N14" s="457">
        <f ca="1">I4*M14</f>
        <v>0</v>
      </c>
      <c r="O14" s="262">
        <f ca="1">(1+(1-J31)^L14)/2*N14</f>
        <v>0</v>
      </c>
      <c r="P14" s="1"/>
      <c r="Q14" s="1"/>
      <c r="R14" s="1"/>
      <c r="S14" s="508"/>
      <c r="T14" s="1"/>
      <c r="U14" s="1"/>
      <c r="V14" s="1"/>
      <c r="W14" s="1"/>
      <c r="X14" s="1"/>
      <c r="Y14" s="1"/>
      <c r="Z14" s="1"/>
      <c r="AA14" s="1"/>
      <c r="AB14" s="1"/>
      <c r="AC14" s="1"/>
      <c r="AD14" s="1"/>
    </row>
    <row r="15" spans="1:30" ht="17.25" thickBot="1" x14ac:dyDescent="0.35">
      <c r="A15" s="160"/>
      <c r="B15" s="469" t="s">
        <v>145</v>
      </c>
      <c r="C15" s="187"/>
      <c r="D15" s="492">
        <f ca="1">INDIRECT("Tukitaulukko!"&amp;ADDRESS(22,AA$30+5))</f>
        <v>700</v>
      </c>
      <c r="E15" s="5">
        <v>0</v>
      </c>
      <c r="F15" s="188" t="str">
        <f>Tukitaulukko!E10</f>
        <v>Teuraspalkkio (€/eläin)</v>
      </c>
      <c r="G15" s="189">
        <f ca="1">IF(H15=0,0,IF(E15=1,MIN(D15*1/IF(M9=0,0.6,1), I4),0))</f>
        <v>0</v>
      </c>
      <c r="H15" s="125">
        <f ca="1">INDIRECT("Tukitaulukko!"&amp;ADDRESS(10,AA$30+5))</f>
        <v>0</v>
      </c>
      <c r="I15" s="190"/>
      <c r="J15" s="191"/>
      <c r="K15" s="192"/>
      <c r="L15" s="193"/>
      <c r="M15" s="456">
        <f ca="1">H15*E15</f>
        <v>0</v>
      </c>
      <c r="N15" s="458">
        <f ca="1">G15*M15</f>
        <v>0</v>
      </c>
      <c r="O15" s="257">
        <f ca="1">M15* MIN(G15,(1-J31)^I8*I4)</f>
        <v>0</v>
      </c>
      <c r="P15" s="1"/>
      <c r="Q15" s="1"/>
      <c r="R15" s="1"/>
      <c r="S15" s="508"/>
      <c r="T15" s="1"/>
      <c r="U15" s="1"/>
      <c r="V15" s="1"/>
      <c r="W15" s="1"/>
      <c r="X15" s="1"/>
      <c r="Y15" s="1"/>
      <c r="Z15" s="1"/>
      <c r="AA15" s="1"/>
      <c r="AB15" s="1"/>
      <c r="AC15" s="1"/>
      <c r="AD15" s="1"/>
    </row>
    <row r="16" spans="1:30" ht="17.25" thickBot="1" x14ac:dyDescent="0.35">
      <c r="A16" s="160"/>
      <c r="B16" s="476">
        <f ca="1">IF(L67=D16,0,L67)*E16*IF(H16=0,0,1)</f>
        <v>0</v>
      </c>
      <c r="C16" s="477">
        <f ca="1">L69*IF(H16=0,0,1)</f>
        <v>0</v>
      </c>
      <c r="D16" s="506">
        <f ca="1">L68*E16</f>
        <v>0</v>
      </c>
      <c r="E16" s="6">
        <v>0</v>
      </c>
      <c r="F16" s="194" t="str">
        <f>Tukitaulukko!E11</f>
        <v>Kansallinen kotieläintuki (6kk-alle 20kk )€/ey/vuosi</v>
      </c>
      <c r="G16" s="264">
        <v>1</v>
      </c>
      <c r="H16" s="125">
        <f ca="1">INDIRECT("Tukitaulukko!"&amp;ADDRESS(11,AA$30+5))</f>
        <v>567</v>
      </c>
      <c r="I16" s="265"/>
      <c r="J16" s="195">
        <f>(M6+M7)*E16</f>
        <v>0</v>
      </c>
      <c r="K16" s="266"/>
      <c r="L16" s="196">
        <f>SUM(I16:K16)</f>
        <v>0</v>
      </c>
      <c r="M16" s="459">
        <f ca="1">G16*H16*J16/365*J13</f>
        <v>0</v>
      </c>
      <c r="N16" s="275">
        <f ca="1">G16*H16*R68*E16</f>
        <v>0</v>
      </c>
      <c r="O16" s="259">
        <f ca="1">G16*H16*D16</f>
        <v>0</v>
      </c>
      <c r="P16" s="1"/>
      <c r="Q16" s="1"/>
      <c r="R16" s="1"/>
      <c r="S16" s="508"/>
      <c r="T16" s="1"/>
      <c r="U16" s="1"/>
      <c r="V16" s="1"/>
      <c r="W16" s="1"/>
      <c r="X16" s="1"/>
      <c r="Y16" s="1"/>
      <c r="Z16" s="1"/>
      <c r="AA16" s="1"/>
      <c r="AB16" s="1"/>
      <c r="AC16" s="1"/>
      <c r="AD16" s="1"/>
    </row>
    <row r="17" spans="1:41" ht="18" customHeight="1" thickBot="1" x14ac:dyDescent="0.35">
      <c r="A17" s="160"/>
      <c r="B17" s="548" t="s">
        <v>147</v>
      </c>
      <c r="C17" s="549"/>
      <c r="D17" s="435"/>
      <c r="E17" s="267">
        <f>MAX(E18:E25)</f>
        <v>0</v>
      </c>
      <c r="F17" s="197"/>
      <c r="G17" s="268">
        <v>1</v>
      </c>
      <c r="H17" s="293" t="str">
        <f ca="1">H13</f>
        <v xml:space="preserve">C1 </v>
      </c>
      <c r="I17" s="198"/>
      <c r="J17" s="198"/>
      <c r="K17" s="198"/>
      <c r="L17" s="199" t="s">
        <v>15</v>
      </c>
      <c r="M17" s="200">
        <f ca="1">M14+M15+M16</f>
        <v>0</v>
      </c>
      <c r="N17" s="269">
        <f ca="1">SUM(N14:N16)</f>
        <v>0</v>
      </c>
      <c r="O17" s="201">
        <f ca="1">SUM(O14:O16)</f>
        <v>0</v>
      </c>
      <c r="P17" s="1"/>
      <c r="Q17" s="1"/>
      <c r="R17" s="1"/>
      <c r="S17" s="508"/>
      <c r="T17" s="1"/>
      <c r="U17" s="1"/>
      <c r="V17" s="1"/>
      <c r="W17" s="1"/>
      <c r="X17" s="1"/>
      <c r="Y17" s="1"/>
      <c r="Z17" s="1"/>
      <c r="AA17" s="1"/>
      <c r="AB17" s="1"/>
      <c r="AC17" s="1"/>
      <c r="AD17" s="1"/>
    </row>
    <row r="18" spans="1:41" ht="14.25" customHeight="1" thickBot="1" x14ac:dyDescent="0.35">
      <c r="A18" s="160"/>
      <c r="B18" s="470"/>
      <c r="C18" s="202"/>
      <c r="D18" s="480">
        <f>(G34+G36)*E18</f>
        <v>0</v>
      </c>
      <c r="E18" s="4">
        <v>0</v>
      </c>
      <c r="F18" s="203" t="str">
        <f>Tukitaulukko!E13</f>
        <v>1. NAUDAT (6kk -4v): Ruokinta ja hoito €/ey/vuosi</v>
      </c>
      <c r="G18" s="204"/>
      <c r="H18" s="126">
        <f ca="1">INDIRECT("Tukitaulukko!"&amp;ADDRESS(13,AA$30+5))</f>
        <v>11</v>
      </c>
      <c r="I18" s="205"/>
      <c r="J18" s="206">
        <f>(M$6+M$7+M$8)*E18</f>
        <v>0</v>
      </c>
      <c r="K18" s="207">
        <f>M$9*E18</f>
        <v>0</v>
      </c>
      <c r="L18" s="208">
        <f t="shared" ref="L18:L25" si="0">K18+J18+I18</f>
        <v>0</v>
      </c>
      <c r="M18" s="209">
        <f ca="1">G17*(I$13*I18+J$13*J18+K$13*K18)/365*H18*E18</f>
        <v>0</v>
      </c>
      <c r="N18" s="270">
        <f ca="1">E18*P46</f>
        <v>0</v>
      </c>
      <c r="O18" s="210">
        <f ca="1">E18*P37</f>
        <v>0</v>
      </c>
      <c r="P18" s="1"/>
      <c r="Q18" s="1"/>
      <c r="R18" s="1"/>
      <c r="S18" s="508"/>
      <c r="T18" s="1"/>
      <c r="U18" s="1"/>
      <c r="V18" s="1"/>
      <c r="W18" s="1"/>
      <c r="X18" s="1"/>
      <c r="Y18" s="1"/>
      <c r="Z18" s="1"/>
      <c r="AA18" s="1"/>
      <c r="AB18" s="1"/>
      <c r="AC18" s="1"/>
      <c r="AD18" s="1"/>
    </row>
    <row r="19" spans="1:41" ht="14.25" customHeight="1" x14ac:dyDescent="0.3">
      <c r="A19" s="160"/>
      <c r="B19" s="471" t="str">
        <f>IF(AND(E19=1,E20=1),"virhe, joko 2a tai 2b =&gt;","")</f>
        <v/>
      </c>
      <c r="C19" s="211"/>
      <c r="D19" s="481">
        <f>G32*E19</f>
        <v>0</v>
      </c>
      <c r="E19" s="8">
        <v>0</v>
      </c>
      <c r="F19" s="212" t="str">
        <f>Tukitaulukko!E14</f>
        <v>2 a. Vasikoiden pito-olosuhteiden parantaminen I € /ey/v</v>
      </c>
      <c r="G19" s="213"/>
      <c r="H19" s="127">
        <f ca="1">INDIRECT("Tukitaulukko!"&amp;ADDRESS(14,AA$30+5))</f>
        <v>439</v>
      </c>
      <c r="I19" s="214">
        <f>M$5*E$19</f>
        <v>0</v>
      </c>
      <c r="J19" s="215"/>
      <c r="K19" s="216"/>
      <c r="L19" s="217">
        <f t="shared" si="0"/>
        <v>0</v>
      </c>
      <c r="M19" s="218">
        <f ca="1">G17*(I$13*I19+J$13*J19+K$13*K19)/365*H19*E19</f>
        <v>0</v>
      </c>
      <c r="N19" s="271">
        <f ca="1">E19*Q46</f>
        <v>0</v>
      </c>
      <c r="O19" s="219">
        <f ca="1">E19*Q37</f>
        <v>0</v>
      </c>
      <c r="P19" s="1"/>
      <c r="Q19" s="1"/>
      <c r="R19" s="1"/>
      <c r="S19" s="508"/>
      <c r="T19" s="1"/>
      <c r="U19" s="1"/>
      <c r="V19" s="1"/>
      <c r="W19" s="1"/>
      <c r="X19" s="1"/>
      <c r="Y19" s="1"/>
      <c r="Z19" s="1"/>
      <c r="AA19" s="1"/>
      <c r="AB19" s="1"/>
      <c r="AC19" s="1"/>
      <c r="AD19" s="1"/>
    </row>
    <row r="20" spans="1:41" ht="14.25" customHeight="1" thickBot="1" x14ac:dyDescent="0.35">
      <c r="A20" s="160"/>
      <c r="B20" s="472"/>
      <c r="C20" s="162"/>
      <c r="D20" s="481">
        <f>G32*E20</f>
        <v>0</v>
      </c>
      <c r="E20" s="9">
        <v>0</v>
      </c>
      <c r="F20" s="220" t="str">
        <f>Tukitaulukko!E15</f>
        <v>2 b. Vasikoiden pito-olosuhteiden parantaminen II €/ey/v</v>
      </c>
      <c r="G20" s="221"/>
      <c r="H20" s="128">
        <f ca="1">INDIRECT("Tukitaulukko!"&amp;ADDRESS(15,AA$30+5))</f>
        <v>292</v>
      </c>
      <c r="I20" s="222">
        <f>M$5*E$20</f>
        <v>0</v>
      </c>
      <c r="J20" s="223"/>
      <c r="K20" s="224"/>
      <c r="L20" s="225">
        <f t="shared" si="0"/>
        <v>0</v>
      </c>
      <c r="M20" s="226">
        <f ca="1">G17*(I$13*I20+J$13*J20+K$13*K20)/365*H20*E20</f>
        <v>0</v>
      </c>
      <c r="N20" s="272">
        <f ca="1">E20*R46</f>
        <v>0</v>
      </c>
      <c r="O20" s="227">
        <f ca="1">E20*R37</f>
        <v>0</v>
      </c>
      <c r="P20" s="1"/>
      <c r="Q20" s="1"/>
      <c r="R20" s="1"/>
      <c r="S20" s="508"/>
      <c r="T20" s="1"/>
      <c r="U20" s="1"/>
      <c r="V20" s="1"/>
      <c r="W20" s="1"/>
      <c r="X20" s="1"/>
      <c r="Y20" s="1"/>
      <c r="Z20" s="1"/>
      <c r="AA20" s="1"/>
      <c r="AB20" s="1"/>
      <c r="AC20" s="1"/>
      <c r="AD20" s="1"/>
    </row>
    <row r="21" spans="1:41" ht="14.25" customHeight="1" x14ac:dyDescent="0.3">
      <c r="A21" s="160"/>
      <c r="B21" s="473" t="str">
        <f>IF(AND(E21=1,E22=1),"virhe, joko 3a tai 3b =&gt;","")</f>
        <v/>
      </c>
      <c r="C21" s="162"/>
      <c r="D21" s="481">
        <f>(G34+G36)*E21</f>
        <v>0</v>
      </c>
      <c r="E21" s="8">
        <v>0</v>
      </c>
      <c r="F21" s="212" t="str">
        <f>Tukitaulukko!E16</f>
        <v>3 a. Väh. 6kk nautojen pito-olosuhteiden parantaminen €/ey/v</v>
      </c>
      <c r="G21" s="228"/>
      <c r="H21" s="127">
        <f ca="1">INDIRECT("Tukitaulukko!"&amp;ADDRESS(16,AA$30+5))</f>
        <v>43</v>
      </c>
      <c r="I21" s="215"/>
      <c r="J21" s="214">
        <f>(M$6+M$7+M$8)*E21</f>
        <v>0</v>
      </c>
      <c r="K21" s="229">
        <f>M$9*E21</f>
        <v>0</v>
      </c>
      <c r="L21" s="217">
        <f t="shared" si="0"/>
        <v>0</v>
      </c>
      <c r="M21" s="218">
        <f ca="1">G17*(I$13*I21+J$13*J21+K$13*K21)/365*H21*E21</f>
        <v>0</v>
      </c>
      <c r="N21" s="271">
        <f ca="1">E21*S46</f>
        <v>0</v>
      </c>
      <c r="O21" s="219">
        <f ca="1">E21*S37</f>
        <v>0</v>
      </c>
      <c r="P21" s="1"/>
      <c r="Q21" s="1"/>
      <c r="R21" s="1"/>
      <c r="S21" s="508"/>
      <c r="T21" s="1"/>
      <c r="U21" s="1"/>
      <c r="V21" s="1"/>
      <c r="W21" s="1"/>
      <c r="X21" s="1"/>
      <c r="Y21" s="1"/>
      <c r="Z21" s="1"/>
      <c r="AA21" s="1"/>
      <c r="AB21" s="1"/>
      <c r="AC21" s="1"/>
      <c r="AD21" s="1"/>
    </row>
    <row r="22" spans="1:41" ht="14.25" customHeight="1" thickBot="1" x14ac:dyDescent="0.35">
      <c r="A22" s="160"/>
      <c r="B22" s="472"/>
      <c r="C22" s="162"/>
      <c r="D22" s="481">
        <f>(G35+G36)*E22</f>
        <v>0</v>
      </c>
      <c r="E22" s="10">
        <v>0</v>
      </c>
      <c r="F22" s="230" t="str">
        <f>Tukitaulukko!E17</f>
        <v>3 b. Väh. 12kk sonnien pito-olosuhteiden parantaminen €/ey/v</v>
      </c>
      <c r="G22" s="231"/>
      <c r="H22" s="129">
        <f ca="1">INDIRECT("Tukitaulukko!"&amp;ADDRESS(17,AA$30+5))</f>
        <v>126</v>
      </c>
      <c r="I22" s="223"/>
      <c r="J22" s="222">
        <f>(M$7+M$8)*E22</f>
        <v>0</v>
      </c>
      <c r="K22" s="232">
        <f>M$9*E22</f>
        <v>0</v>
      </c>
      <c r="L22" s="225">
        <f t="shared" si="0"/>
        <v>0</v>
      </c>
      <c r="M22" s="226">
        <f ca="1">G17*(J$13*J22+K$13*K22)/365*H22*E22</f>
        <v>0</v>
      </c>
      <c r="N22" s="272">
        <f ca="1">E22*T46</f>
        <v>0</v>
      </c>
      <c r="O22" s="227">
        <f ca="1">E22*T37</f>
        <v>0</v>
      </c>
      <c r="P22" s="1"/>
      <c r="Q22" s="1"/>
      <c r="R22" s="1"/>
      <c r="S22" s="508"/>
      <c r="T22" s="1"/>
      <c r="U22" s="1"/>
      <c r="V22" s="1"/>
      <c r="W22" s="1"/>
      <c r="X22" s="1"/>
      <c r="Y22" s="1"/>
      <c r="Z22" s="1"/>
      <c r="AA22" s="1"/>
      <c r="AB22" s="1"/>
      <c r="AC22" s="1"/>
      <c r="AD22" s="1"/>
    </row>
    <row r="23" spans="1:41" ht="14.25" customHeight="1" x14ac:dyDescent="0.3">
      <c r="A23" s="160"/>
      <c r="B23" s="473" t="str">
        <f>IF(AND(E23=1,E24=1),"virhe, joko 4a tai 4b =&gt;","")</f>
        <v/>
      </c>
      <c r="C23" s="162"/>
      <c r="D23" s="481">
        <f>(G34+G36)*E23</f>
        <v>0</v>
      </c>
      <c r="E23" s="11">
        <v>0</v>
      </c>
      <c r="F23" s="212" t="str">
        <f>Tukitaulukko!E18</f>
        <v>4 a. Väh. 6kk Laidunnus laidunkaudella ja jaloittelu muu aika €/ey/v</v>
      </c>
      <c r="G23" s="213"/>
      <c r="H23" s="130">
        <f ca="1">INDIRECT("Tukitaulukko!"&amp;ADDRESS(18,AA$30+5))</f>
        <v>46</v>
      </c>
      <c r="I23" s="215"/>
      <c r="J23" s="214">
        <f>(M$6+M$7+M$8)*E23</f>
        <v>0</v>
      </c>
      <c r="K23" s="229">
        <f>M$9*E23</f>
        <v>0</v>
      </c>
      <c r="L23" s="217">
        <f t="shared" si="0"/>
        <v>0</v>
      </c>
      <c r="M23" s="218">
        <f ca="1">G17*(I$13*I23+J$13*J23+K$13*K23)/365*H23*E23</f>
        <v>0</v>
      </c>
      <c r="N23" s="271">
        <f ca="1">E23*U46</f>
        <v>0</v>
      </c>
      <c r="O23" s="219">
        <f ca="1">E23*U37</f>
        <v>0</v>
      </c>
      <c r="P23" s="1"/>
      <c r="Q23" s="1"/>
      <c r="R23" s="1"/>
      <c r="S23" s="508"/>
      <c r="T23" s="1"/>
      <c r="U23" s="1"/>
      <c r="V23" s="1"/>
      <c r="W23" s="1"/>
      <c r="X23" s="1"/>
      <c r="Y23" s="1"/>
      <c r="Z23" s="1"/>
      <c r="AA23" s="1"/>
      <c r="AB23" s="1"/>
      <c r="AC23" s="1"/>
      <c r="AD23" s="1"/>
    </row>
    <row r="24" spans="1:41" ht="14.25" customHeight="1" thickBot="1" x14ac:dyDescent="0.35">
      <c r="A24" s="160"/>
      <c r="B24" s="472"/>
      <c r="C24" s="162"/>
      <c r="D24" s="481">
        <f>(G34+G36)*E24</f>
        <v>0</v>
      </c>
      <c r="E24" s="9">
        <v>0</v>
      </c>
      <c r="F24" s="220" t="str">
        <f>Tukitaulukko!E19</f>
        <v>4 b. Väh. 6kk Pitkäaikaisempi laidunnus laidunkaudella €/ey/v</v>
      </c>
      <c r="G24" s="221"/>
      <c r="H24" s="128">
        <f ca="1">INDIRECT("Tukitaulukko!"&amp;ADDRESS(19,AA$30+5))</f>
        <v>24</v>
      </c>
      <c r="I24" s="223"/>
      <c r="J24" s="222">
        <f>(M$6+M$7+M$8)*E24</f>
        <v>0</v>
      </c>
      <c r="K24" s="232">
        <f>M$9*E24</f>
        <v>0</v>
      </c>
      <c r="L24" s="225">
        <f t="shared" si="0"/>
        <v>0</v>
      </c>
      <c r="M24" s="233">
        <f ca="1">G17*(I$13*I24+J$13*J24+K$13*K24)/365*H24*E24</f>
        <v>0</v>
      </c>
      <c r="N24" s="273">
        <f ca="1">E24*V46</f>
        <v>0</v>
      </c>
      <c r="O24" s="227">
        <f ca="1">E24*V37</f>
        <v>0</v>
      </c>
      <c r="P24" s="1"/>
      <c r="Q24" s="1"/>
      <c r="R24" s="1"/>
      <c r="S24" s="508"/>
      <c r="T24" s="1"/>
      <c r="U24" s="1"/>
      <c r="V24" s="1"/>
      <c r="W24" s="1"/>
      <c r="X24" s="1"/>
      <c r="Y24" s="1"/>
      <c r="Z24" s="1"/>
      <c r="AA24" s="1"/>
      <c r="AB24" s="1"/>
      <c r="AC24" s="1"/>
      <c r="AD24" s="1"/>
    </row>
    <row r="25" spans="1:41" ht="14.25" customHeight="1" thickBot="1" x14ac:dyDescent="0.35">
      <c r="A25" s="160"/>
      <c r="B25" s="474"/>
      <c r="C25" s="234"/>
      <c r="D25" s="482">
        <f>(G32+G34+G36)*E25</f>
        <v>0</v>
      </c>
      <c r="E25" s="12">
        <v>0</v>
      </c>
      <c r="F25" s="235" t="str">
        <f>Tukitaulukko!E20</f>
        <v>5. Lihanautojen sairas- hoito- ja poikimakarsinat €/ey/v</v>
      </c>
      <c r="G25" s="236"/>
      <c r="H25" s="131">
        <f ca="1">INDIRECT("Tukitaulukko!"&amp;ADDRESS(20,AA$30+5))</f>
        <v>15</v>
      </c>
      <c r="I25" s="222">
        <f>M$5*E25</f>
        <v>0</v>
      </c>
      <c r="J25" s="222">
        <f>(M$6+M$7+M$8)*E25</f>
        <v>0</v>
      </c>
      <c r="K25" s="232">
        <f>M$9*E25</f>
        <v>0</v>
      </c>
      <c r="L25" s="225">
        <f t="shared" si="0"/>
        <v>0</v>
      </c>
      <c r="M25" s="237">
        <f ca="1">G17*(I$13*I25+J$13*J25+K$13*K25)/365*H25*E25</f>
        <v>0</v>
      </c>
      <c r="N25" s="274">
        <f ca="1">E25*W46</f>
        <v>0</v>
      </c>
      <c r="O25" s="227">
        <f ca="1">E25*W37</f>
        <v>0</v>
      </c>
      <c r="P25" s="1"/>
      <c r="Q25" s="1"/>
      <c r="R25" s="1"/>
      <c r="S25" s="508"/>
      <c r="T25" s="1"/>
      <c r="U25" s="1"/>
      <c r="V25" s="1"/>
      <c r="W25" s="1"/>
      <c r="X25" s="1"/>
      <c r="Y25" s="1"/>
      <c r="Z25" s="1"/>
      <c r="AA25" s="1"/>
      <c r="AB25" s="1"/>
      <c r="AC25" s="1"/>
      <c r="AD25" s="1"/>
    </row>
    <row r="26" spans="1:41" ht="16.5" x14ac:dyDescent="0.3">
      <c r="A26" s="160"/>
      <c r="B26" s="160"/>
      <c r="C26" s="160"/>
      <c r="D26" s="160"/>
      <c r="E26" s="160"/>
      <c r="F26" s="160"/>
      <c r="G26" s="160"/>
      <c r="H26" s="160"/>
      <c r="I26" s="238"/>
      <c r="J26" s="238"/>
      <c r="K26" s="238"/>
      <c r="L26" s="238" t="s">
        <v>16</v>
      </c>
      <c r="M26" s="239">
        <f ca="1">SUM(M18:M25)</f>
        <v>0</v>
      </c>
      <c r="N26" s="499">
        <f ca="1">SUM(N18:N25)</f>
        <v>0</v>
      </c>
      <c r="O26" s="500">
        <f ca="1">SUM(O18:O25)</f>
        <v>0</v>
      </c>
      <c r="P26" s="1"/>
      <c r="Q26" s="1"/>
      <c r="R26" s="1"/>
      <c r="S26" s="508"/>
      <c r="T26" s="1"/>
      <c r="U26" s="1"/>
      <c r="V26" s="1"/>
      <c r="W26" s="1"/>
      <c r="X26" s="1"/>
      <c r="Y26" s="1"/>
      <c r="Z26" s="1"/>
      <c r="AA26" s="1"/>
      <c r="AB26" s="1"/>
      <c r="AC26" s="1"/>
      <c r="AD26" s="1"/>
    </row>
    <row r="27" spans="1:41" ht="19.149999999999999" customHeight="1" thickBot="1" x14ac:dyDescent="0.35">
      <c r="A27" s="160"/>
      <c r="B27" s="240"/>
      <c r="C27" s="160"/>
      <c r="D27" s="160"/>
      <c r="E27" s="160"/>
      <c r="F27" s="160"/>
      <c r="G27" s="241"/>
      <c r="H27" s="160"/>
      <c r="I27" s="242"/>
      <c r="J27" s="242"/>
      <c r="K27" s="242"/>
      <c r="L27" s="243" t="s">
        <v>60</v>
      </c>
      <c r="M27" s="496">
        <f ca="1">M26+M14+M15+M16</f>
        <v>0</v>
      </c>
      <c r="N27" s="501">
        <f ca="1">N17+N26</f>
        <v>0</v>
      </c>
      <c r="O27" s="502">
        <f ca="1">O26+O17</f>
        <v>0</v>
      </c>
      <c r="P27" s="1"/>
      <c r="Q27" s="1"/>
      <c r="R27" s="1"/>
      <c r="S27" s="508"/>
      <c r="T27" s="1"/>
      <c r="U27" s="1"/>
      <c r="V27" s="1"/>
      <c r="W27" s="1"/>
      <c r="X27" s="1"/>
      <c r="Y27" s="1"/>
      <c r="Z27" s="1"/>
      <c r="AA27" s="1"/>
      <c r="AB27" s="1"/>
      <c r="AC27" s="1"/>
      <c r="AD27" s="1"/>
    </row>
    <row r="28" spans="1:41" ht="409.5" customHeight="1" thickTop="1" x14ac:dyDescent="0.25">
      <c r="A28" s="1"/>
      <c r="B28" s="1"/>
      <c r="C28" s="1"/>
      <c r="D28" s="1"/>
      <c r="E28" s="1"/>
      <c r="F28" s="7"/>
      <c r="G28" s="7"/>
      <c r="H28" s="1"/>
      <c r="I28" s="1"/>
      <c r="J28" s="1"/>
      <c r="K28" s="1"/>
      <c r="L28" s="1"/>
      <c r="M28" s="1"/>
      <c r="N28" s="1"/>
      <c r="O28" s="1"/>
      <c r="P28" s="1"/>
      <c r="Q28" s="1"/>
      <c r="R28" s="1"/>
      <c r="S28" s="508"/>
      <c r="T28" s="1"/>
      <c r="U28" s="1"/>
      <c r="V28" s="1"/>
      <c r="W28" s="1"/>
      <c r="X28" s="1"/>
      <c r="Y28" s="1"/>
      <c r="Z28" s="1"/>
      <c r="AA28" s="1"/>
      <c r="AB28" s="1"/>
      <c r="AC28" s="1"/>
      <c r="AD28" s="1"/>
      <c r="AE28" s="148"/>
      <c r="AF28" s="148"/>
      <c r="AG28" s="148"/>
      <c r="AH28" s="148"/>
      <c r="AI28" s="148"/>
      <c r="AJ28" s="148"/>
      <c r="AK28" s="148"/>
      <c r="AL28" s="148"/>
      <c r="AM28" s="148"/>
      <c r="AN28" s="148"/>
      <c r="AO28" s="148"/>
    </row>
    <row r="29" spans="1:41" ht="409.5" customHeight="1" x14ac:dyDescent="0.25">
      <c r="A29" s="1"/>
      <c r="B29" s="1"/>
      <c r="C29" s="1"/>
      <c r="D29" s="1"/>
      <c r="E29" s="1"/>
      <c r="F29" s="1"/>
      <c r="G29" s="7"/>
      <c r="H29" s="1"/>
      <c r="I29" s="1"/>
      <c r="J29" s="1"/>
      <c r="K29" s="1"/>
      <c r="L29" s="1"/>
      <c r="M29" s="1"/>
      <c r="N29" s="1"/>
      <c r="O29" s="1"/>
      <c r="P29" s="1"/>
      <c r="Q29" s="1"/>
      <c r="R29" s="1"/>
      <c r="S29" s="508"/>
      <c r="T29" s="1"/>
      <c r="U29" s="1"/>
      <c r="V29" s="1"/>
      <c r="W29" s="1"/>
      <c r="X29" s="1"/>
      <c r="Y29" s="1"/>
      <c r="Z29" s="1"/>
      <c r="AA29" s="1"/>
      <c r="AB29" s="1"/>
      <c r="AC29" s="1"/>
      <c r="AD29" s="1"/>
      <c r="AE29" s="148"/>
      <c r="AF29" s="148"/>
      <c r="AG29" s="148"/>
      <c r="AH29" s="148"/>
      <c r="AI29" s="148"/>
      <c r="AJ29" s="148"/>
      <c r="AK29" s="148"/>
      <c r="AL29" s="148"/>
      <c r="AM29" s="148"/>
      <c r="AN29" s="148"/>
      <c r="AO29" s="148"/>
    </row>
    <row r="30" spans="1:41" ht="18" hidden="1" customHeight="1" x14ac:dyDescent="0.3">
      <c r="A30" s="148"/>
      <c r="B30" s="148"/>
      <c r="C30" s="148"/>
      <c r="D30" s="148"/>
      <c r="E30" s="149"/>
      <c r="F30" s="319" t="s">
        <v>124</v>
      </c>
      <c r="G30" s="320"/>
      <c r="H30" s="304" t="s">
        <v>56</v>
      </c>
      <c r="I30" s="305" t="s">
        <v>55</v>
      </c>
      <c r="J30" s="327" t="s">
        <v>10</v>
      </c>
      <c r="K30" s="330" t="s">
        <v>57</v>
      </c>
      <c r="L30" s="438" t="s">
        <v>134</v>
      </c>
      <c r="M30" s="438" t="s">
        <v>133</v>
      </c>
      <c r="N30" s="332" t="s">
        <v>125</v>
      </c>
      <c r="O30" s="315" t="s">
        <v>123</v>
      </c>
      <c r="P30" s="313">
        <f ca="1">H18</f>
        <v>11</v>
      </c>
      <c r="Q30" s="314">
        <f ca="1">H19</f>
        <v>439</v>
      </c>
      <c r="R30" s="314">
        <f ca="1">H20</f>
        <v>292</v>
      </c>
      <c r="S30" s="510">
        <f ca="1">H21</f>
        <v>43</v>
      </c>
      <c r="T30" s="314">
        <f ca="1">H22</f>
        <v>126</v>
      </c>
      <c r="U30" s="314">
        <f ca="1">H23</f>
        <v>46</v>
      </c>
      <c r="V30" s="314">
        <f ca="1">H24</f>
        <v>24</v>
      </c>
      <c r="W30" s="314">
        <f ca="1">H25</f>
        <v>15</v>
      </c>
      <c r="Y30" s="354" t="s">
        <v>126</v>
      </c>
      <c r="Z30" s="362" t="s">
        <v>67</v>
      </c>
      <c r="AA30" s="363">
        <f>S2</f>
        <v>4</v>
      </c>
    </row>
    <row r="31" spans="1:41" ht="18" hidden="1" customHeight="1" x14ac:dyDescent="0.3">
      <c r="A31" s="148"/>
      <c r="B31" s="148"/>
      <c r="C31" s="148"/>
      <c r="D31" s="148"/>
      <c r="E31" s="148"/>
      <c r="F31" s="308" t="s">
        <v>122</v>
      </c>
      <c r="G31" s="321" t="s">
        <v>121</v>
      </c>
      <c r="H31" s="306"/>
      <c r="I31" s="303" t="s">
        <v>102</v>
      </c>
      <c r="J31" s="328">
        <f>IF(F10=0,0.0000000001,1-(1-J38)^(1/365))</f>
        <v>1E-10</v>
      </c>
      <c r="K31" s="331"/>
      <c r="L31" s="331"/>
      <c r="M31" s="439" t="s">
        <v>135</v>
      </c>
      <c r="N31" s="326">
        <v>100000</v>
      </c>
      <c r="O31" s="310" t="s">
        <v>85</v>
      </c>
      <c r="P31" s="311" t="s">
        <v>86</v>
      </c>
      <c r="Q31" s="311" t="s">
        <v>87</v>
      </c>
      <c r="R31" s="311" t="s">
        <v>89</v>
      </c>
      <c r="S31" s="511" t="s">
        <v>90</v>
      </c>
      <c r="T31" s="311" t="s">
        <v>91</v>
      </c>
      <c r="U31" s="311" t="s">
        <v>92</v>
      </c>
      <c r="V31" s="311" t="s">
        <v>93</v>
      </c>
      <c r="W31" s="311" t="s">
        <v>88</v>
      </c>
      <c r="Y31" s="354" t="s">
        <v>127</v>
      </c>
      <c r="Z31" s="365" t="s">
        <v>63</v>
      </c>
      <c r="AA31" s="364" t="s">
        <v>17</v>
      </c>
      <c r="AB31" s="364" t="s">
        <v>64</v>
      </c>
      <c r="AC31" s="364" t="s">
        <v>65</v>
      </c>
      <c r="AD31" s="364" t="s">
        <v>66</v>
      </c>
      <c r="AE31" s="364" t="s">
        <v>18</v>
      </c>
      <c r="AF31" s="1"/>
    </row>
    <row r="32" spans="1:41" ht="18" hidden="1" customHeight="1" x14ac:dyDescent="0.3">
      <c r="A32" s="148"/>
      <c r="B32" s="148"/>
      <c r="C32" s="148"/>
      <c r="D32" s="148"/>
      <c r="E32" s="148"/>
      <c r="F32" s="333" t="s">
        <v>95</v>
      </c>
      <c r="G32" s="322">
        <f>O32</f>
        <v>0</v>
      </c>
      <c r="H32" s="307">
        <f>L5</f>
        <v>43646</v>
      </c>
      <c r="I32" s="301">
        <f>M5</f>
        <v>0</v>
      </c>
      <c r="J32" s="504">
        <f>K32-(1-J$31)^I32*I$4</f>
        <v>0</v>
      </c>
      <c r="K32" s="329">
        <f>I4</f>
        <v>0</v>
      </c>
      <c r="L32" s="505">
        <f>I4-J32</f>
        <v>0</v>
      </c>
      <c r="M32" s="485">
        <f>I$13*(L32+K32)/2</f>
        <v>0</v>
      </c>
      <c r="N32" s="309">
        <f>MIN(N$31,M32)</f>
        <v>0</v>
      </c>
      <c r="O32" s="323">
        <f>N32*I32/365</f>
        <v>0</v>
      </c>
      <c r="P32" s="312"/>
      <c r="Q32" s="312">
        <f ca="1">G17*$O32*Q30</f>
        <v>0</v>
      </c>
      <c r="R32" s="312">
        <f ca="1">G17*$O32*R30</f>
        <v>0</v>
      </c>
      <c r="S32" s="510"/>
      <c r="T32" s="312"/>
      <c r="U32" s="312"/>
      <c r="V32" s="312"/>
      <c r="W32" s="312">
        <f ca="1">G17*W30*O32</f>
        <v>0</v>
      </c>
      <c r="Y32" s="337" t="s">
        <v>79</v>
      </c>
      <c r="Z32" s="338" t="s">
        <v>76</v>
      </c>
      <c r="AA32" s="350">
        <f>L3</f>
        <v>43466</v>
      </c>
      <c r="AB32" s="350">
        <f>AA33+1</f>
        <v>43647</v>
      </c>
      <c r="AC32" s="350">
        <f>AB33+1</f>
        <v>43831</v>
      </c>
      <c r="AD32" s="350">
        <f>AC33+1</f>
        <v>44075</v>
      </c>
      <c r="AE32" s="350">
        <f>L9</f>
        <v>44197</v>
      </c>
      <c r="AF32" s="1"/>
    </row>
    <row r="33" spans="1:34" ht="18" hidden="1" customHeight="1" x14ac:dyDescent="0.3">
      <c r="A33" s="148"/>
      <c r="B33" s="148"/>
      <c r="C33" s="148"/>
      <c r="D33" s="148"/>
      <c r="E33" s="148"/>
      <c r="F33" s="333" t="s">
        <v>96</v>
      </c>
      <c r="G33" s="322">
        <f t="shared" ref="G33:G37" si="1">O33</f>
        <v>0</v>
      </c>
      <c r="H33" s="307">
        <f>L7</f>
        <v>44074</v>
      </c>
      <c r="I33" s="301">
        <f>M6+M7</f>
        <v>0</v>
      </c>
      <c r="J33" s="504">
        <f>L32-(1-J$31)^I33*L32</f>
        <v>0</v>
      </c>
      <c r="K33" s="302">
        <f>L32</f>
        <v>0</v>
      </c>
      <c r="L33" s="505">
        <f>L32-J33</f>
        <v>0</v>
      </c>
      <c r="M33" s="485">
        <f>J$13*(L33+K33)/2</f>
        <v>0</v>
      </c>
      <c r="N33" s="309">
        <f>MIN(N$31,M33)</f>
        <v>0</v>
      </c>
      <c r="O33" s="323">
        <f>N33*I33/365</f>
        <v>0</v>
      </c>
      <c r="P33" s="312"/>
      <c r="Q33" s="312"/>
      <c r="R33" s="312"/>
      <c r="S33" s="510"/>
      <c r="T33" s="312"/>
      <c r="U33" s="312"/>
      <c r="V33" s="312"/>
      <c r="W33" s="312"/>
      <c r="Y33" s="325" t="s">
        <v>78</v>
      </c>
      <c r="Z33" s="338" t="s">
        <v>77</v>
      </c>
      <c r="AA33" s="347">
        <f>L5</f>
        <v>43646</v>
      </c>
      <c r="AB33" s="347">
        <f>L6</f>
        <v>43830</v>
      </c>
      <c r="AC33" s="347">
        <f>L7</f>
        <v>44074</v>
      </c>
      <c r="AD33" s="347">
        <f>L8</f>
        <v>44196</v>
      </c>
      <c r="AE33" s="366" t="str">
        <f>IF(AE32&lt;=L10,L10,"ei kasvatusta")</f>
        <v>ei kasvatusta</v>
      </c>
      <c r="AF33" s="1"/>
    </row>
    <row r="34" spans="1:34" ht="18" hidden="1" customHeight="1" x14ac:dyDescent="0.3">
      <c r="A34" s="148"/>
      <c r="B34" s="148"/>
      <c r="C34" s="148"/>
      <c r="D34" s="148"/>
      <c r="E34" s="148"/>
      <c r="F34" s="333" t="s">
        <v>83</v>
      </c>
      <c r="G34" s="322">
        <f t="shared" si="1"/>
        <v>0</v>
      </c>
      <c r="H34" s="307">
        <f>L8</f>
        <v>44196</v>
      </c>
      <c r="I34" s="301">
        <f>M6+M7+M8</f>
        <v>0</v>
      </c>
      <c r="J34" s="504">
        <f>L32-(1-J$31)^I34*L32</f>
        <v>0</v>
      </c>
      <c r="K34" s="302">
        <f>L32</f>
        <v>0</v>
      </c>
      <c r="L34" s="505">
        <f>K34-J34</f>
        <v>0</v>
      </c>
      <c r="M34" s="485">
        <f>J$13*(L34+K34)/2</f>
        <v>0</v>
      </c>
      <c r="N34" s="309">
        <f t="shared" ref="N34:N35" si="2">MIN(N$31,M34)</f>
        <v>0</v>
      </c>
      <c r="O34" s="323">
        <f t="shared" ref="O34:O35" si="3">N34*I34/365</f>
        <v>0</v>
      </c>
      <c r="P34" s="312">
        <f ca="1">G17*O34*P$30</f>
        <v>0</v>
      </c>
      <c r="Q34" s="312"/>
      <c r="R34" s="312"/>
      <c r="S34" s="510">
        <f ca="1">G17*O34*S$30</f>
        <v>0</v>
      </c>
      <c r="T34" s="312"/>
      <c r="U34" s="312">
        <f ca="1">G17*O34*U30</f>
        <v>0</v>
      </c>
      <c r="V34" s="312">
        <f ca="1">G17*V30*O34</f>
        <v>0</v>
      </c>
      <c r="W34" s="312">
        <f ca="1">G17*O34*W30</f>
        <v>0</v>
      </c>
      <c r="Y34" s="344" t="s">
        <v>80</v>
      </c>
      <c r="Z34" s="356">
        <f>I7</f>
        <v>43466</v>
      </c>
      <c r="AA34" s="359">
        <f>IF($Z34&gt;AA33,1,0)</f>
        <v>0</v>
      </c>
      <c r="AB34" s="359">
        <f>IF($Z34&gt;AB33,1,0)</f>
        <v>0</v>
      </c>
      <c r="AC34" s="359">
        <f>IF($Z34&gt;AC33,1,0)</f>
        <v>0</v>
      </c>
      <c r="AD34" s="359">
        <f>IF($Z34&gt;AD33,1,0)</f>
        <v>0</v>
      </c>
      <c r="AE34" s="359">
        <f>IF($Z34&gt;AE33,1,0)</f>
        <v>0</v>
      </c>
      <c r="AF34" s="1"/>
    </row>
    <row r="35" spans="1:34" ht="18" hidden="1" customHeight="1" x14ac:dyDescent="0.3">
      <c r="A35" s="148"/>
      <c r="B35" s="148"/>
      <c r="C35" s="148"/>
      <c r="D35" s="148"/>
      <c r="E35" s="148"/>
      <c r="F35" s="333" t="s">
        <v>94</v>
      </c>
      <c r="G35" s="322">
        <f t="shared" si="1"/>
        <v>0</v>
      </c>
      <c r="H35" s="307">
        <f>L6</f>
        <v>43830</v>
      </c>
      <c r="I35" s="301">
        <f>M7+M8</f>
        <v>0</v>
      </c>
      <c r="J35" s="504">
        <f>K35*(1-(1-J$31)^I35)</f>
        <v>0</v>
      </c>
      <c r="K35" s="302">
        <f>(1-J$31)^M6*L32</f>
        <v>0</v>
      </c>
      <c r="L35" s="505">
        <f>K35-J35</f>
        <v>0</v>
      </c>
      <c r="M35" s="486">
        <f>J$13*(L35+K35)/2</f>
        <v>0</v>
      </c>
      <c r="N35" s="309">
        <f t="shared" si="2"/>
        <v>0</v>
      </c>
      <c r="O35" s="323">
        <f t="shared" si="3"/>
        <v>0</v>
      </c>
      <c r="P35" s="312"/>
      <c r="Q35" s="312"/>
      <c r="R35" s="312"/>
      <c r="S35" s="510"/>
      <c r="T35" s="312">
        <f ca="1">G17*T$30*O35</f>
        <v>0</v>
      </c>
      <c r="U35" s="312"/>
      <c r="V35" s="312"/>
      <c r="W35" s="312"/>
      <c r="Y35" s="344" t="s">
        <v>81</v>
      </c>
      <c r="Z35" s="345">
        <f>L10</f>
        <v>43466</v>
      </c>
      <c r="AA35" s="360">
        <f>IF($Z35&lt;AA32,1,0)</f>
        <v>0</v>
      </c>
      <c r="AB35" s="360">
        <f>IF($Z35&lt;AB32,1,0)</f>
        <v>1</v>
      </c>
      <c r="AC35" s="360">
        <f>IF($Z35&lt;AC32,1,0)</f>
        <v>1</v>
      </c>
      <c r="AD35" s="360">
        <f>IF($Z35&lt;AD32,1,0)</f>
        <v>1</v>
      </c>
      <c r="AE35" s="360">
        <f>IF($Z35&lt;AE32,1,0)</f>
        <v>1</v>
      </c>
      <c r="AF35" s="1"/>
    </row>
    <row r="36" spans="1:34" ht="18" hidden="1" customHeight="1" thickBot="1" x14ac:dyDescent="0.35">
      <c r="A36" s="148"/>
      <c r="B36" s="148"/>
      <c r="C36" s="148"/>
      <c r="D36" s="148"/>
      <c r="E36" s="151">
        <f>G36/365*G$3*I$13</f>
        <v>0</v>
      </c>
      <c r="F36" s="333" t="s">
        <v>84</v>
      </c>
      <c r="G36" s="322">
        <f t="shared" si="1"/>
        <v>0</v>
      </c>
      <c r="H36" s="307">
        <f>L9</f>
        <v>44197</v>
      </c>
      <c r="I36" s="301">
        <f>M9</f>
        <v>0</v>
      </c>
      <c r="J36" s="504">
        <f>L34-(1-J$31)^I36*L34</f>
        <v>0</v>
      </c>
      <c r="K36" s="302">
        <f>L34</f>
        <v>0</v>
      </c>
      <c r="L36" s="505">
        <f>K36-J36</f>
        <v>0</v>
      </c>
      <c r="M36" s="485">
        <f>K$13*(L36+K36)/2</f>
        <v>0</v>
      </c>
      <c r="N36" s="309">
        <f>MIN(N$31,M36)</f>
        <v>0</v>
      </c>
      <c r="O36" s="324">
        <f>N36*I36/365</f>
        <v>0</v>
      </c>
      <c r="P36" s="316">
        <f ca="1">G17*O36*H$18</f>
        <v>0</v>
      </c>
      <c r="Q36" s="316"/>
      <c r="R36" s="316"/>
      <c r="S36" s="512">
        <f ca="1">G17*O36*S$30</f>
        <v>0</v>
      </c>
      <c r="T36" s="316">
        <f ca="1">G17*T$30*O36</f>
        <v>0</v>
      </c>
      <c r="U36" s="316">
        <f ca="1">G17*U30*O36</f>
        <v>0</v>
      </c>
      <c r="V36" s="316">
        <f ca="1">G17*O36*V30</f>
        <v>0</v>
      </c>
      <c r="W36" s="316">
        <f ca="1">G17*O36*W30</f>
        <v>0</v>
      </c>
      <c r="Y36" s="344" t="s">
        <v>82</v>
      </c>
      <c r="Z36" s="345"/>
      <c r="AA36" s="360">
        <f>IF(AND($Z34&lt;AA32,$Z35&lt;AA32),1,0)</f>
        <v>0</v>
      </c>
      <c r="AB36" s="360">
        <f>IF(AND($Z34&lt;AB32,$Z35&lt;AB32),1,0)</f>
        <v>1</v>
      </c>
      <c r="AC36" s="360">
        <f>IF(AND($Z34&lt;AC32,$Z35&lt;AC32),1,0)</f>
        <v>1</v>
      </c>
      <c r="AD36" s="360">
        <f>IF(AND($Z34&lt;AD32,$Z35&lt;AD32),1,0)</f>
        <v>1</v>
      </c>
      <c r="AE36" s="360">
        <f>IF(AND($Z34&lt;AE32,$Z35&lt;AE32),1,0)</f>
        <v>1</v>
      </c>
      <c r="AF36" s="1"/>
    </row>
    <row r="37" spans="1:34" ht="18" hidden="1" customHeight="1" thickTop="1" thickBot="1" x14ac:dyDescent="0.3">
      <c r="A37" s="148"/>
      <c r="B37" s="148"/>
      <c r="C37" s="148"/>
      <c r="D37" s="148"/>
      <c r="E37" s="148"/>
      <c r="F37" s="148"/>
      <c r="G37" s="368">
        <f t="shared" si="1"/>
        <v>0</v>
      </c>
      <c r="H37" s="148" t="s">
        <v>136</v>
      </c>
      <c r="I37" s="148"/>
      <c r="J37" s="148"/>
      <c r="K37" s="148"/>
      <c r="L37" s="148"/>
      <c r="M37" s="155">
        <f>SUM(M32:M36)</f>
        <v>0</v>
      </c>
      <c r="N37" s="317" t="s">
        <v>97</v>
      </c>
      <c r="O37" s="367">
        <f>SUM(O32:O36)</f>
        <v>0</v>
      </c>
      <c r="P37" s="318">
        <f ca="1">SUM(P32:P36)</f>
        <v>0</v>
      </c>
      <c r="Q37" s="318">
        <f t="shared" ref="Q37:R37" ca="1" si="4">SUM(Q32:Q36)</f>
        <v>0</v>
      </c>
      <c r="R37" s="318">
        <f t="shared" ca="1" si="4"/>
        <v>0</v>
      </c>
      <c r="S37" s="318">
        <f ca="1">SUM(S32:S36)</f>
        <v>0</v>
      </c>
      <c r="T37" s="318">
        <f ca="1">SUM(T32:T36)</f>
        <v>0</v>
      </c>
      <c r="U37" s="318">
        <f t="shared" ref="U37:V37" ca="1" si="5">SUM(U32:U36)</f>
        <v>0</v>
      </c>
      <c r="V37" s="318">
        <f t="shared" ca="1" si="5"/>
        <v>0</v>
      </c>
      <c r="W37" s="318">
        <f ca="1">SUM(W32:W36)</f>
        <v>0</v>
      </c>
      <c r="Y37" s="357" t="s">
        <v>69</v>
      </c>
      <c r="Z37" s="358"/>
      <c r="AA37" s="361">
        <f>IF(AA34+AA35+AA36&gt;0,0,1)</f>
        <v>1</v>
      </c>
      <c r="AB37" s="361">
        <f>IF(AB34+AB35+AB36&gt;0,0,1)</f>
        <v>0</v>
      </c>
      <c r="AC37" s="361">
        <f>IF(AC34+AC35+AC36&gt;0,0,1)</f>
        <v>0</v>
      </c>
      <c r="AD37" s="361">
        <f>IF(AD34+AD35+AD36&gt;0,0,1)</f>
        <v>0</v>
      </c>
      <c r="AE37" s="361">
        <f>IF(AE34+AE35+AE36&gt;0,0,1)</f>
        <v>0</v>
      </c>
      <c r="AF37" s="1"/>
    </row>
    <row r="38" spans="1:34" ht="18" hidden="1" customHeight="1" thickTop="1" thickBot="1" x14ac:dyDescent="0.3">
      <c r="A38" s="148"/>
      <c r="B38" s="148"/>
      <c r="C38" s="148"/>
      <c r="D38" s="148"/>
      <c r="E38" s="148"/>
      <c r="F38" s="153"/>
      <c r="G38" s="153"/>
      <c r="H38" s="153"/>
      <c r="I38" s="153" t="s">
        <v>154</v>
      </c>
      <c r="J38" s="503">
        <f>IF(I5=1,0.999999,I5)</f>
        <v>0</v>
      </c>
      <c r="K38" s="153"/>
      <c r="L38" s="153"/>
      <c r="M38" s="153"/>
      <c r="N38" s="153"/>
      <c r="O38" s="153"/>
      <c r="P38" s="153"/>
      <c r="Q38" s="153"/>
      <c r="R38" s="153"/>
      <c r="S38" s="513"/>
      <c r="T38" s="153"/>
      <c r="U38" s="153"/>
      <c r="V38" s="153"/>
      <c r="W38" s="153"/>
      <c r="X38" s="154"/>
      <c r="Y38" s="355" t="s">
        <v>70</v>
      </c>
      <c r="Z38" s="355"/>
      <c r="AA38" s="351">
        <f>IF($Z34&gt;AA32,$Z34,AA32)*AA37</f>
        <v>43466</v>
      </c>
      <c r="AB38" s="351">
        <f>IF($Z34&gt;AB32,$Z34,AB32)*AB37</f>
        <v>0</v>
      </c>
      <c r="AC38" s="351">
        <f>IF($Z34&gt;AC32,$Z34,AC32)*AC37</f>
        <v>0</v>
      </c>
      <c r="AD38" s="351">
        <f>IF($Z34&gt;AD32,$Z34,AD32)*AD37</f>
        <v>0</v>
      </c>
      <c r="AE38" s="351">
        <f>IF($Z34&gt;AE32,$Z34,AE32)*AE37</f>
        <v>0</v>
      </c>
      <c r="AF38" s="1"/>
      <c r="AH38" s="351">
        <v>43440</v>
      </c>
    </row>
    <row r="39" spans="1:34" ht="18" hidden="1" customHeight="1" x14ac:dyDescent="0.3">
      <c r="A39" s="148"/>
      <c r="B39" s="148"/>
      <c r="C39" s="148"/>
      <c r="D39" s="148"/>
      <c r="E39" s="148"/>
      <c r="F39" s="155"/>
      <c r="G39" s="155"/>
      <c r="H39" s="155"/>
      <c r="I39" s="155"/>
      <c r="J39" s="155"/>
      <c r="K39" s="155"/>
      <c r="L39" s="155"/>
      <c r="M39" s="152"/>
      <c r="N39" s="152"/>
      <c r="O39" s="332" t="s">
        <v>125</v>
      </c>
      <c r="P39" s="156"/>
      <c r="Q39" s="156"/>
      <c r="R39" s="156"/>
      <c r="S39" s="514"/>
      <c r="T39" s="156"/>
      <c r="U39" s="156"/>
      <c r="V39" s="156"/>
      <c r="W39" s="150"/>
      <c r="X39" s="148"/>
      <c r="Y39" s="325"/>
      <c r="Z39" s="325"/>
      <c r="AA39" s="325"/>
      <c r="AB39" s="325"/>
      <c r="AC39" s="325"/>
      <c r="AD39" s="325"/>
      <c r="AE39" s="325"/>
      <c r="AF39" s="1"/>
      <c r="AH39" s="325"/>
    </row>
    <row r="40" spans="1:34" ht="18" hidden="1" customHeight="1" x14ac:dyDescent="0.3">
      <c r="A40" s="148"/>
      <c r="B40" s="148"/>
      <c r="F40" s="155"/>
      <c r="H40" s="155"/>
      <c r="J40" s="315" t="s">
        <v>128</v>
      </c>
      <c r="K40" s="315"/>
      <c r="L40" s="315"/>
      <c r="M40" s="336" t="s">
        <v>103</v>
      </c>
      <c r="N40" s="439"/>
      <c r="O40" s="326">
        <f>N31</f>
        <v>100000</v>
      </c>
      <c r="P40" s="311" t="s">
        <v>86</v>
      </c>
      <c r="Q40" s="311" t="s">
        <v>87</v>
      </c>
      <c r="R40" s="311" t="s">
        <v>89</v>
      </c>
      <c r="S40" s="511" t="s">
        <v>90</v>
      </c>
      <c r="T40" s="311" t="s">
        <v>91</v>
      </c>
      <c r="U40" s="311" t="s">
        <v>92</v>
      </c>
      <c r="V40" s="311" t="s">
        <v>93</v>
      </c>
      <c r="W40" s="311" t="s">
        <v>88</v>
      </c>
      <c r="Y40" s="300" t="s">
        <v>71</v>
      </c>
      <c r="AA40" s="2">
        <f>IF(AA38=0,0,1)</f>
        <v>1</v>
      </c>
      <c r="AB40" s="2">
        <f>IF(AB38=0,0,1)</f>
        <v>0</v>
      </c>
      <c r="AC40" s="2">
        <f>IF(AC38=0,0,1)</f>
        <v>0</v>
      </c>
      <c r="AD40" s="2">
        <f>IF(AD38=0,0,1)</f>
        <v>0</v>
      </c>
      <c r="AE40" s="2">
        <f>IF(AE38=0,0,1)</f>
        <v>0</v>
      </c>
      <c r="AF40" s="1"/>
      <c r="AH40" s="2">
        <v>1</v>
      </c>
    </row>
    <row r="41" spans="1:34" ht="18" hidden="1" customHeight="1" x14ac:dyDescent="0.25">
      <c r="A41" s="148"/>
      <c r="B41" s="148"/>
      <c r="F41" s="155"/>
      <c r="H41" s="155"/>
      <c r="J41" s="333" t="s">
        <v>95</v>
      </c>
      <c r="K41" s="334"/>
      <c r="L41" s="335"/>
      <c r="M41" s="454">
        <f>I4</f>
        <v>0</v>
      </c>
      <c r="N41" s="436">
        <f>M41*I13</f>
        <v>0</v>
      </c>
      <c r="O41" s="323">
        <f>MIN(I$13*M41,O$40)*I32/365</f>
        <v>0</v>
      </c>
      <c r="P41" s="312"/>
      <c r="Q41" s="312">
        <f ca="1">G17*$O41*Q30</f>
        <v>0</v>
      </c>
      <c r="R41" s="312">
        <f ca="1">G17*$O41*R30</f>
        <v>0</v>
      </c>
      <c r="S41" s="510"/>
      <c r="T41" s="312"/>
      <c r="U41" s="312"/>
      <c r="V41" s="312"/>
      <c r="W41" s="312">
        <f ca="1">G17*W30*O41</f>
        <v>0</v>
      </c>
      <c r="Y41" s="340" t="s">
        <v>72</v>
      </c>
      <c r="Z41" s="339">
        <f>L10</f>
        <v>43466</v>
      </c>
      <c r="AA41" s="342">
        <f>IF(AND($Z41&lt;=AA33,$Z41&gt;=L3),1,0)</f>
        <v>1</v>
      </c>
      <c r="AB41" s="342">
        <f>IF(AND($Z41&lt;=AB33,$Z41&gt;=AA33),1,0)</f>
        <v>0</v>
      </c>
      <c r="AC41" s="342">
        <f>IF(AND($Z41&lt;=AC33,$Z41&gt;=AB33),1,0)</f>
        <v>0</v>
      </c>
      <c r="AD41" s="342">
        <f>IF(AND($Z41&lt;=AD33,$Z41&gt;=AC33),1,0)</f>
        <v>0</v>
      </c>
      <c r="AE41" s="342">
        <f>IF(AND($Z41&lt;=AE32,$Z41&gt;=AD33),1,0)</f>
        <v>0</v>
      </c>
      <c r="AF41" s="1"/>
      <c r="AH41" s="342">
        <v>1</v>
      </c>
    </row>
    <row r="42" spans="1:34" ht="18" hidden="1" customHeight="1" x14ac:dyDescent="0.25">
      <c r="A42" s="148"/>
      <c r="B42" s="148"/>
      <c r="F42" s="155"/>
      <c r="H42" s="155"/>
      <c r="J42" s="333" t="s">
        <v>96</v>
      </c>
      <c r="K42" s="334"/>
      <c r="L42" s="335"/>
      <c r="M42" s="455">
        <f>M41</f>
        <v>0</v>
      </c>
      <c r="N42" s="436">
        <f>J$13*M42</f>
        <v>0</v>
      </c>
      <c r="O42" s="323">
        <f>MIN(J$13*M42,O$40)*I33/365</f>
        <v>0</v>
      </c>
      <c r="P42" s="312"/>
      <c r="Q42" s="312"/>
      <c r="R42" s="312"/>
      <c r="S42" s="510"/>
      <c r="T42" s="312"/>
      <c r="U42" s="312"/>
      <c r="V42" s="312"/>
      <c r="W42" s="312"/>
      <c r="Y42" s="340" t="s">
        <v>73</v>
      </c>
      <c r="Z42" s="341">
        <f>Z41</f>
        <v>43466</v>
      </c>
      <c r="AA42" s="340">
        <f>IF($Z42&gt;AA33,1,0)</f>
        <v>0</v>
      </c>
      <c r="AB42" s="340">
        <f>IF($Z42&gt;AB33,1,0)</f>
        <v>0</v>
      </c>
      <c r="AC42" s="340">
        <f>IF($Z42&gt;AC33,1,0)</f>
        <v>0</v>
      </c>
      <c r="AD42" s="340">
        <f>IF($Z42&gt;AD33,1,0)</f>
        <v>0</v>
      </c>
      <c r="AE42" s="340">
        <f>IF($Z42&gt;AE32,1,0)</f>
        <v>0</v>
      </c>
      <c r="AF42" s="340">
        <f>AE42*AD42</f>
        <v>0</v>
      </c>
      <c r="AH42" s="340">
        <v>0</v>
      </c>
    </row>
    <row r="43" spans="1:34" s="158" customFormat="1" ht="18" hidden="1" customHeight="1" x14ac:dyDescent="0.25">
      <c r="F43" s="155"/>
      <c r="J43" s="333" t="s">
        <v>83</v>
      </c>
      <c r="K43" s="334"/>
      <c r="L43" s="335"/>
      <c r="M43" s="455">
        <f t="shared" ref="M43:M45" si="6">M42</f>
        <v>0</v>
      </c>
      <c r="N43" s="436">
        <f>J$13*M43</f>
        <v>0</v>
      </c>
      <c r="O43" s="323">
        <f>MIN(J$13*M43,O$40)*I34/365</f>
        <v>0</v>
      </c>
      <c r="P43" s="312">
        <f ca="1">G17*O43*P$30</f>
        <v>0</v>
      </c>
      <c r="Q43" s="312"/>
      <c r="R43" s="312"/>
      <c r="S43" s="510">
        <f ca="1">G17*O43*S$30</f>
        <v>0</v>
      </c>
      <c r="T43" s="312"/>
      <c r="U43" s="312">
        <f ca="1">G17*O43*U30</f>
        <v>0</v>
      </c>
      <c r="V43" s="312">
        <f ca="1">G17*V30*O43</f>
        <v>0</v>
      </c>
      <c r="W43" s="312">
        <f ca="1">G17*O43*W30</f>
        <v>0</v>
      </c>
      <c r="Y43" s="146" t="s">
        <v>74</v>
      </c>
      <c r="Z43" s="146"/>
      <c r="AA43" s="147">
        <f>(IF(AA42=1,AA33,IF(AA41=1,Z41,0))+AA42)*AA37</f>
        <v>43466</v>
      </c>
      <c r="AB43" s="147">
        <f>(IF(AB42=1,AB33,IF(AB41=1,$Z41,0))+AB42)*AB37</f>
        <v>0</v>
      </c>
      <c r="AC43" s="147">
        <f>(IF(AC42=1,AC33,IF(AC41=1,$Z41,0))+AC42)*AC37</f>
        <v>0</v>
      </c>
      <c r="AD43" s="147">
        <f>(IF(AD42=1,AD33,IF(AD41=1,$Z41,0))+AD42)*AD37</f>
        <v>0</v>
      </c>
      <c r="AE43" s="147">
        <f>(IF(AE42=1,AE33,IF(AE41=1,$Z41,0)))*AE37</f>
        <v>0</v>
      </c>
      <c r="AF43" s="1"/>
      <c r="AH43" s="147">
        <v>43440</v>
      </c>
    </row>
    <row r="44" spans="1:34" s="158" customFormat="1" ht="18" hidden="1" customHeight="1" x14ac:dyDescent="0.25">
      <c r="F44" s="155"/>
      <c r="J44" s="333" t="s">
        <v>94</v>
      </c>
      <c r="K44" s="334"/>
      <c r="L44" s="335"/>
      <c r="M44" s="455">
        <f t="shared" si="6"/>
        <v>0</v>
      </c>
      <c r="N44" s="437">
        <f>J$13*M44</f>
        <v>0</v>
      </c>
      <c r="O44" s="323">
        <f>MIN(J$13*M44,O$40)*I35/365</f>
        <v>0</v>
      </c>
      <c r="P44" s="312"/>
      <c r="Q44" s="312"/>
      <c r="R44" s="312"/>
      <c r="S44" s="510"/>
      <c r="T44" s="312">
        <f ca="1">G17*T$30*O44</f>
        <v>0</v>
      </c>
      <c r="U44" s="312"/>
      <c r="V44" s="312"/>
      <c r="W44" s="312"/>
      <c r="Y44" s="325"/>
      <c r="Z44" s="325"/>
      <c r="AA44" s="325"/>
      <c r="AB44" s="325"/>
      <c r="AC44" s="325"/>
      <c r="AD44" s="325"/>
      <c r="AE44" s="325"/>
      <c r="AF44" s="1"/>
      <c r="AH44" s="325"/>
    </row>
    <row r="45" spans="1:34" s="158" customFormat="1" ht="18" hidden="1" customHeight="1" thickBot="1" x14ac:dyDescent="0.3">
      <c r="J45" s="333" t="s">
        <v>84</v>
      </c>
      <c r="K45" s="334"/>
      <c r="L45" s="335"/>
      <c r="M45" s="455">
        <f t="shared" si="6"/>
        <v>0</v>
      </c>
      <c r="N45" s="436">
        <f>K$13*M45</f>
        <v>0</v>
      </c>
      <c r="O45" s="324">
        <f>MIN(K$13*M45,O$40)*I36/365</f>
        <v>0</v>
      </c>
      <c r="P45" s="316">
        <f ca="1">G17*O45*H$18</f>
        <v>0</v>
      </c>
      <c r="Q45" s="316"/>
      <c r="R45" s="316"/>
      <c r="S45" s="512">
        <f ca="1">G17*O45*S$30</f>
        <v>0</v>
      </c>
      <c r="T45" s="316">
        <f ca="1">G17*T$30*O45</f>
        <v>0</v>
      </c>
      <c r="U45" s="316">
        <f ca="1">G17*U30*O45</f>
        <v>0</v>
      </c>
      <c r="V45" s="316">
        <f ca="1">G17*O45*V30</f>
        <v>0</v>
      </c>
      <c r="W45" s="316">
        <f ca="1">G17*O45*W30</f>
        <v>0</v>
      </c>
      <c r="Y45" s="325"/>
      <c r="Z45" s="325"/>
      <c r="AA45" s="343" t="str">
        <f>AA31</f>
        <v>alle 6kk</v>
      </c>
      <c r="AB45" s="343" t="str">
        <f>AB31</f>
        <v>6kk -12kk</v>
      </c>
      <c r="AC45" s="343" t="str">
        <f>AC31</f>
        <v>12kk- 20kk</v>
      </c>
      <c r="AD45" s="343" t="str">
        <f>AD31</f>
        <v>20kk- 24kk</v>
      </c>
      <c r="AE45" s="343" t="str">
        <f>AE31</f>
        <v>yli 24kk</v>
      </c>
      <c r="AF45" s="1"/>
      <c r="AH45" s="343" t="s">
        <v>66</v>
      </c>
    </row>
    <row r="46" spans="1:34" s="158" customFormat="1" ht="18" hidden="1" customHeight="1" thickTop="1" x14ac:dyDescent="0.25">
      <c r="N46" s="152"/>
      <c r="O46" s="370">
        <f>SUM(O41:O45)</f>
        <v>0</v>
      </c>
      <c r="P46" s="318">
        <f ca="1">SUM(P41:P45)</f>
        <v>0</v>
      </c>
      <c r="Q46" s="318">
        <f t="shared" ref="Q46:R46" ca="1" si="7">SUM(Q41:Q45)</f>
        <v>0</v>
      </c>
      <c r="R46" s="318">
        <f t="shared" ca="1" si="7"/>
        <v>0</v>
      </c>
      <c r="S46" s="318">
        <f ca="1">SUM(S41:S45)</f>
        <v>0</v>
      </c>
      <c r="T46" s="318">
        <f ca="1">SUM(T41:T45)</f>
        <v>0</v>
      </c>
      <c r="U46" s="318">
        <f t="shared" ref="U46:V46" ca="1" si="8">SUM(U41:U45)</f>
        <v>0</v>
      </c>
      <c r="V46" s="318">
        <f t="shared" ca="1" si="8"/>
        <v>0</v>
      </c>
      <c r="W46" s="318">
        <f ca="1">SUM(W41:W45)</f>
        <v>0</v>
      </c>
      <c r="Y46" s="346" t="s">
        <v>75</v>
      </c>
      <c r="Z46" s="348">
        <f>SUM(AA46:AE46)</f>
        <v>0</v>
      </c>
      <c r="AA46" s="349">
        <f>(AA43-AA38)*AA40+AA41-AB42-AB41-AA41</f>
        <v>0</v>
      </c>
      <c r="AB46" s="349">
        <f>(AB43-AB38)*AB40+AB41 +IF(AA43=0,-1,0)</f>
        <v>0</v>
      </c>
      <c r="AC46" s="349">
        <f>((AC43-AC38)*AC40+AC41)*AC40</f>
        <v>0</v>
      </c>
      <c r="AD46" s="349">
        <f>((AD43-AD38)*AD40+AD41)*AD40</f>
        <v>0</v>
      </c>
      <c r="AE46" s="349">
        <f>(AE43-AE38)*AE40+AE41+AF42</f>
        <v>0</v>
      </c>
      <c r="AF46" s="1"/>
      <c r="AH46" s="349">
        <v>1</v>
      </c>
    </row>
    <row r="47" spans="1:34" s="158" customFormat="1" ht="18" hidden="1" customHeight="1" x14ac:dyDescent="0.25">
      <c r="O47" s="369"/>
      <c r="S47" s="515"/>
      <c r="AA47" s="158" t="b">
        <f>IF(AA46=-1,0)</f>
        <v>0</v>
      </c>
      <c r="AB47" s="158" t="b">
        <f>IF(AB46=-1,0)</f>
        <v>0</v>
      </c>
    </row>
    <row r="48" spans="1:34" s="158" customFormat="1" ht="18" hidden="1" customHeight="1" x14ac:dyDescent="0.25">
      <c r="S48" s="515"/>
      <c r="AA48" s="543">
        <f>SUM(AA46:AE46)</f>
        <v>0</v>
      </c>
    </row>
    <row r="49" spans="4:33" s="158" customFormat="1" ht="18" hidden="1" customHeight="1" thickBot="1" x14ac:dyDescent="0.35">
      <c r="F49" s="453" t="s">
        <v>140</v>
      </c>
      <c r="S49" s="515"/>
    </row>
    <row r="50" spans="4:33" s="158" customFormat="1" ht="18" hidden="1" customHeight="1" thickBot="1" x14ac:dyDescent="0.35">
      <c r="F50" s="379" t="str">
        <f>K3</f>
        <v xml:space="preserve"> Syntymäpvm</v>
      </c>
      <c r="G50" s="380">
        <f>L3</f>
        <v>43466</v>
      </c>
      <c r="H50" s="409"/>
      <c r="I50" s="410">
        <f>YEAR(G58)</f>
        <v>2019</v>
      </c>
      <c r="J50" s="411"/>
      <c r="K50" s="412"/>
      <c r="L50" s="413">
        <f>I50+1</f>
        <v>2020</v>
      </c>
      <c r="M50" s="414"/>
      <c r="N50" s="417"/>
      <c r="O50" s="418">
        <f>L50+1</f>
        <v>2021</v>
      </c>
      <c r="P50" s="415"/>
      <c r="Q50" s="416"/>
      <c r="R50" s="419">
        <f>O50+1</f>
        <v>2022</v>
      </c>
      <c r="S50" s="516"/>
    </row>
    <row r="51" spans="4:33" s="158" customFormat="1" ht="18" hidden="1" customHeight="1" thickTop="1" x14ac:dyDescent="0.25">
      <c r="F51" s="381"/>
      <c r="G51" s="382"/>
      <c r="H51" s="381" t="s">
        <v>129</v>
      </c>
      <c r="I51" s="383">
        <f>DATE(YEAR(G58),12,31)</f>
        <v>43830</v>
      </c>
      <c r="J51" s="382"/>
      <c r="K51" s="381" t="s">
        <v>119</v>
      </c>
      <c r="L51" s="383">
        <f>EDATE(I51,12)</f>
        <v>44196</v>
      </c>
      <c r="M51" s="382"/>
      <c r="N51" s="381" t="s">
        <v>119</v>
      </c>
      <c r="O51" s="383">
        <f>EDATE(L51,12)</f>
        <v>44561</v>
      </c>
      <c r="P51" s="382"/>
      <c r="Q51" s="381" t="s">
        <v>119</v>
      </c>
      <c r="R51" s="494">
        <f>EDATE(O51,12)</f>
        <v>44926</v>
      </c>
      <c r="S51" s="517"/>
    </row>
    <row r="52" spans="4:33" s="158" customFormat="1" ht="18" hidden="1" customHeight="1" x14ac:dyDescent="0.3">
      <c r="F52" s="394" t="str">
        <f t="shared" ref="F52:H57" si="9">K4</f>
        <v xml:space="preserve">  Ikähaarukka</v>
      </c>
      <c r="G52" s="395" t="str">
        <f t="shared" si="9"/>
        <v>Loppupvm</v>
      </c>
      <c r="H52" s="384" t="str">
        <f t="shared" si="9"/>
        <v>Jakson pvt</v>
      </c>
      <c r="I52" s="385">
        <f>I51-G58+1</f>
        <v>365</v>
      </c>
      <c r="J52" s="386"/>
      <c r="K52" s="390" t="s">
        <v>120</v>
      </c>
      <c r="L52" s="391">
        <f>MIN(L51,G59)-I51</f>
        <v>-364</v>
      </c>
      <c r="M52" s="392"/>
      <c r="N52" s="387" t="s">
        <v>120</v>
      </c>
      <c r="O52" s="388">
        <f>MIN(O51,G59)-L51</f>
        <v>-730</v>
      </c>
      <c r="P52" s="389"/>
      <c r="Q52" s="404" t="s">
        <v>120</v>
      </c>
      <c r="R52" s="405">
        <f>MIN(R51,G59)-O51</f>
        <v>-1095</v>
      </c>
      <c r="S52" s="518"/>
    </row>
    <row r="53" spans="4:33" s="158" customFormat="1" ht="18" hidden="1" customHeight="1" x14ac:dyDescent="0.3">
      <c r="F53" s="374" t="str">
        <f t="shared" si="9"/>
        <v xml:space="preserve">  alle 6kk </v>
      </c>
      <c r="G53" s="375">
        <f t="shared" si="9"/>
        <v>43646</v>
      </c>
      <c r="H53" s="396">
        <f t="shared" si="9"/>
        <v>0</v>
      </c>
      <c r="I53" s="296">
        <f>IF(H53&gt;0,IF(I52&gt;H53,H53,I52),0)</f>
        <v>0</v>
      </c>
      <c r="J53" s="371">
        <f>I52-I53</f>
        <v>365</v>
      </c>
      <c r="K53" s="393">
        <f>H53-I53</f>
        <v>0</v>
      </c>
      <c r="L53" s="296">
        <f>IF(K53&gt;0,IF(L52&gt;K53,K53,L52),0)</f>
        <v>0</v>
      </c>
      <c r="M53" s="371">
        <f>L52-L53</f>
        <v>-364</v>
      </c>
      <c r="N53" s="401">
        <f>K53-L53</f>
        <v>0</v>
      </c>
      <c r="O53" s="296">
        <f>IF(N53&gt;0,IF(#REF!&gt;N53,N53,#REF!),0)</f>
        <v>0</v>
      </c>
      <c r="P53" s="371">
        <f>O52-O53</f>
        <v>-730</v>
      </c>
      <c r="Q53" s="406">
        <f>N53-O53</f>
        <v>0</v>
      </c>
      <c r="R53" s="296">
        <f>IF(Q53&gt;0,IF(#REF!&gt;Q53,Q53,#REF!),0)</f>
        <v>0</v>
      </c>
      <c r="S53" s="519">
        <f>R52-R53</f>
        <v>-1095</v>
      </c>
    </row>
    <row r="54" spans="4:33" s="158" customFormat="1" ht="18" hidden="1" customHeight="1" x14ac:dyDescent="0.3">
      <c r="F54" s="376" t="str">
        <f t="shared" si="9"/>
        <v xml:space="preserve">   6kk-alle 12kk</v>
      </c>
      <c r="G54" s="375">
        <f t="shared" si="9"/>
        <v>43830</v>
      </c>
      <c r="H54" s="397">
        <f t="shared" si="9"/>
        <v>0</v>
      </c>
      <c r="I54" s="296">
        <f>IF(H54&gt;0,IF(J53&gt;H54,H54,J53),0)</f>
        <v>0</v>
      </c>
      <c r="J54" s="371">
        <f>J53-I54</f>
        <v>365</v>
      </c>
      <c r="K54" s="399">
        <f t="shared" ref="K54:K57" si="10">H54-I54</f>
        <v>0</v>
      </c>
      <c r="L54" s="296">
        <f>IF(K54&gt;0,IF(M53&gt;K54,K54,M53),0)</f>
        <v>0</v>
      </c>
      <c r="M54" s="371">
        <f>M53-L54</f>
        <v>-364</v>
      </c>
      <c r="N54" s="402">
        <f t="shared" ref="N54:N57" si="11">K54-L54</f>
        <v>0</v>
      </c>
      <c r="O54" s="296">
        <f>IF(N54&gt;0,IF(P53&gt;N54,N54,P53),0)</f>
        <v>0</v>
      </c>
      <c r="P54" s="371">
        <f>P53-O54</f>
        <v>-730</v>
      </c>
      <c r="Q54" s="407">
        <f t="shared" ref="Q54:Q57" si="12">N54-O54</f>
        <v>0</v>
      </c>
      <c r="R54" s="296">
        <f>IF(Q54&gt;0,IF(S53&gt;Q54,Q54,S53),0)</f>
        <v>0</v>
      </c>
      <c r="S54" s="519">
        <f>S53-R54</f>
        <v>-1095</v>
      </c>
    </row>
    <row r="55" spans="4:33" s="159" customFormat="1" ht="18" hidden="1" customHeight="1" x14ac:dyDescent="0.3">
      <c r="F55" s="376" t="str">
        <f t="shared" si="9"/>
        <v xml:space="preserve">   12kk -alle 20 kk </v>
      </c>
      <c r="G55" s="375">
        <f t="shared" si="9"/>
        <v>44074</v>
      </c>
      <c r="H55" s="397">
        <f t="shared" si="9"/>
        <v>0</v>
      </c>
      <c r="I55" s="296">
        <f t="shared" ref="I55:I57" si="13">IF(H55&gt;0,IF(J54&gt;H55,H55,J54),0)</f>
        <v>0</v>
      </c>
      <c r="J55" s="371">
        <f t="shared" ref="J55:J57" si="14">J54-I55</f>
        <v>365</v>
      </c>
      <c r="K55" s="399">
        <f t="shared" si="10"/>
        <v>0</v>
      </c>
      <c r="L55" s="296">
        <f t="shared" ref="L55" si="15">IF(K55&gt;0,IF(M54&gt;K55,K55,M54),0)</f>
        <v>0</v>
      </c>
      <c r="M55" s="371">
        <f t="shared" ref="M55:M57" si="16">M54-L55</f>
        <v>-364</v>
      </c>
      <c r="N55" s="402">
        <f t="shared" si="11"/>
        <v>0</v>
      </c>
      <c r="O55" s="296">
        <f t="shared" ref="O55" si="17">IF(N55&gt;0,IF(P54&gt;N55,N55,P54),0)</f>
        <v>0</v>
      </c>
      <c r="P55" s="371">
        <f t="shared" ref="P55:P57" si="18">P54-O55</f>
        <v>-730</v>
      </c>
      <c r="Q55" s="407">
        <f t="shared" si="12"/>
        <v>0</v>
      </c>
      <c r="R55" s="296">
        <f>IF(Q55&gt;0,IF(S54&gt;Q55,Q55,S54),0)</f>
        <v>0</v>
      </c>
      <c r="S55" s="519">
        <f t="shared" ref="S55:S57" si="19">S54-R55</f>
        <v>-1095</v>
      </c>
      <c r="U55" s="158"/>
      <c r="V55" s="158"/>
      <c r="W55" s="158"/>
      <c r="X55" s="158"/>
      <c r="Y55" s="158"/>
      <c r="Z55" s="158"/>
      <c r="AA55" s="158"/>
      <c r="AB55" s="158"/>
      <c r="AC55" s="158"/>
      <c r="AD55" s="158"/>
      <c r="AE55" s="158"/>
      <c r="AF55" s="158"/>
      <c r="AG55" s="158"/>
    </row>
    <row r="56" spans="4:33" s="159" customFormat="1" ht="18" hidden="1" customHeight="1" x14ac:dyDescent="0.3">
      <c r="F56" s="376" t="str">
        <f t="shared" si="9"/>
        <v xml:space="preserve"> 20kk- alle 24kk </v>
      </c>
      <c r="G56" s="375">
        <f t="shared" si="9"/>
        <v>44196</v>
      </c>
      <c r="H56" s="397">
        <f t="shared" si="9"/>
        <v>0</v>
      </c>
      <c r="I56" s="296">
        <f t="shared" si="13"/>
        <v>0</v>
      </c>
      <c r="J56" s="371">
        <f t="shared" si="14"/>
        <v>365</v>
      </c>
      <c r="K56" s="399">
        <f t="shared" si="10"/>
        <v>0</v>
      </c>
      <c r="L56" s="296">
        <f t="shared" ref="L56" si="20">IF(K56&gt;0,IF(M55&gt;K56,K56,M55),0)</f>
        <v>0</v>
      </c>
      <c r="M56" s="371">
        <f t="shared" si="16"/>
        <v>-364</v>
      </c>
      <c r="N56" s="402">
        <f t="shared" si="11"/>
        <v>0</v>
      </c>
      <c r="O56" s="296">
        <f t="shared" ref="O56" si="21">IF(N56&gt;0,IF(P55&gt;N56,N56,P55),0)</f>
        <v>0</v>
      </c>
      <c r="P56" s="371">
        <f t="shared" si="18"/>
        <v>-730</v>
      </c>
      <c r="Q56" s="407">
        <f t="shared" si="12"/>
        <v>0</v>
      </c>
      <c r="R56" s="296">
        <f>IF(Q56&gt;0,IF(S55&gt;Q56,Q56,S55),0)</f>
        <v>0</v>
      </c>
      <c r="S56" s="519">
        <f t="shared" si="19"/>
        <v>-1095</v>
      </c>
      <c r="U56" s="158"/>
      <c r="V56" s="158"/>
      <c r="W56" s="158"/>
      <c r="X56" s="158"/>
      <c r="Y56" s="158"/>
      <c r="Z56" s="158"/>
      <c r="AA56" s="158"/>
      <c r="AB56" s="158"/>
      <c r="AC56" s="158"/>
      <c r="AD56" s="158"/>
      <c r="AE56" s="158"/>
      <c r="AF56" s="158"/>
      <c r="AG56" s="158"/>
    </row>
    <row r="57" spans="4:33" s="159" customFormat="1" ht="18" hidden="1" customHeight="1" thickBot="1" x14ac:dyDescent="0.35">
      <c r="F57" s="377" t="str">
        <f t="shared" si="9"/>
        <v xml:space="preserve">   yli 24kk</v>
      </c>
      <c r="G57" s="378">
        <f t="shared" si="9"/>
        <v>44197</v>
      </c>
      <c r="H57" s="398">
        <f t="shared" si="9"/>
        <v>0</v>
      </c>
      <c r="I57" s="373">
        <f t="shared" si="13"/>
        <v>0</v>
      </c>
      <c r="J57" s="372">
        <f t="shared" si="14"/>
        <v>365</v>
      </c>
      <c r="K57" s="400">
        <f t="shared" si="10"/>
        <v>0</v>
      </c>
      <c r="L57" s="373">
        <f t="shared" ref="L57" si="22">IF(K57&gt;0,IF(M56&gt;K57,K57,M56),0)</f>
        <v>0</v>
      </c>
      <c r="M57" s="372">
        <f t="shared" si="16"/>
        <v>-364</v>
      </c>
      <c r="N57" s="403">
        <f t="shared" si="11"/>
        <v>0</v>
      </c>
      <c r="O57" s="373">
        <f t="shared" ref="O57" si="23">IF(N57&gt;0,IF(P56&gt;N57,N57,P56),0)</f>
        <v>0</v>
      </c>
      <c r="P57" s="372">
        <f t="shared" si="18"/>
        <v>-730</v>
      </c>
      <c r="Q57" s="408">
        <f t="shared" si="12"/>
        <v>0</v>
      </c>
      <c r="R57" s="373">
        <f>IF(Q57&gt;0,IF(S56&gt;Q57,Q57,S56),0)</f>
        <v>0</v>
      </c>
      <c r="S57" s="520">
        <f t="shared" si="19"/>
        <v>-1095</v>
      </c>
      <c r="U57" s="158"/>
      <c r="V57" s="158"/>
      <c r="W57" s="158"/>
      <c r="X57" s="158"/>
      <c r="Y57" s="158"/>
      <c r="Z57" s="158"/>
      <c r="AA57" s="158"/>
      <c r="AB57" s="158"/>
      <c r="AC57" s="158"/>
      <c r="AD57" s="158"/>
      <c r="AE57" s="158"/>
      <c r="AF57" s="158"/>
      <c r="AG57" s="158"/>
    </row>
    <row r="58" spans="4:33" s="159" customFormat="1" ht="18" hidden="1" customHeight="1" x14ac:dyDescent="0.25">
      <c r="F58" s="297" t="s">
        <v>118</v>
      </c>
      <c r="G58" s="493">
        <f>I7</f>
        <v>43466</v>
      </c>
      <c r="H58" s="298">
        <f>SUM(H53:H57)</f>
        <v>0</v>
      </c>
      <c r="I58" s="422">
        <f>SUM(I53:I57)</f>
        <v>0</v>
      </c>
      <c r="J58" s="354"/>
      <c r="K58" s="353"/>
      <c r="L58" s="420">
        <f t="shared" ref="L58" si="24">SUM(L53:L57)</f>
        <v>0</v>
      </c>
      <c r="M58" s="353"/>
      <c r="N58" s="352"/>
      <c r="O58" s="421">
        <f t="shared" ref="O58" si="25">SUM(O53:O57)</f>
        <v>0</v>
      </c>
      <c r="P58" s="352"/>
      <c r="Q58" s="423"/>
      <c r="R58" s="424">
        <f t="shared" ref="R58" si="26">SUM(R53:R57)</f>
        <v>0</v>
      </c>
      <c r="S58" s="521"/>
      <c r="U58" s="158"/>
      <c r="V58" s="158"/>
      <c r="W58" s="158"/>
      <c r="X58" s="158"/>
      <c r="Y58" s="158"/>
      <c r="Z58" s="158"/>
      <c r="AA58" s="158"/>
      <c r="AB58" s="158"/>
      <c r="AC58" s="158"/>
      <c r="AD58" s="158"/>
      <c r="AE58" s="158"/>
      <c r="AF58" s="158"/>
      <c r="AG58" s="158"/>
    </row>
    <row r="59" spans="4:33" s="159" customFormat="1" ht="18" hidden="1" customHeight="1" x14ac:dyDescent="0.25">
      <c r="F59" s="297" t="str">
        <f>K10</f>
        <v>Teuraspvm:</v>
      </c>
      <c r="G59" s="493">
        <f>L10</f>
        <v>43466</v>
      </c>
      <c r="H59" s="299">
        <f>SUM(I58:R58)</f>
        <v>0</v>
      </c>
      <c r="I59" s="157"/>
      <c r="J59" s="157"/>
      <c r="K59" s="157"/>
      <c r="L59" s="148"/>
      <c r="M59" s="148"/>
      <c r="N59" s="148"/>
      <c r="O59" s="2"/>
      <c r="P59" s="2"/>
      <c r="Q59" s="2"/>
      <c r="R59" s="2"/>
      <c r="S59" s="522"/>
      <c r="U59" s="158"/>
      <c r="V59" s="158"/>
      <c r="W59" s="158"/>
      <c r="X59" s="158"/>
      <c r="Y59" s="158"/>
      <c r="Z59" s="158"/>
      <c r="AA59" s="158"/>
      <c r="AB59" s="158"/>
      <c r="AC59" s="158"/>
      <c r="AD59" s="158"/>
      <c r="AE59" s="158"/>
      <c r="AF59" s="158"/>
      <c r="AG59" s="158"/>
    </row>
    <row r="60" spans="4:33" s="158" customFormat="1" ht="18" hidden="1" customHeight="1" x14ac:dyDescent="0.25">
      <c r="D60" s="159"/>
      <c r="E60" s="159"/>
      <c r="F60" s="2"/>
      <c r="G60" s="2"/>
      <c r="H60" s="2"/>
      <c r="I60" s="2"/>
      <c r="J60" s="2"/>
      <c r="K60" s="2"/>
      <c r="L60" s="2" t="s">
        <v>153</v>
      </c>
      <c r="M60" s="2"/>
      <c r="N60" s="2"/>
      <c r="O60" s="2"/>
      <c r="P60" s="2"/>
      <c r="Q60" s="2"/>
      <c r="R60" s="2" t="s">
        <v>141</v>
      </c>
      <c r="S60" s="522"/>
    </row>
    <row r="61" spans="4:33" s="158" customFormat="1" ht="18" hidden="1" customHeight="1" x14ac:dyDescent="0.3">
      <c r="D61" s="159"/>
      <c r="E61" s="159"/>
      <c r="F61" s="425" t="s">
        <v>131</v>
      </c>
      <c r="G61" s="425" t="s">
        <v>130</v>
      </c>
      <c r="H61" s="426">
        <f>I50</f>
        <v>2019</v>
      </c>
      <c r="I61" s="426">
        <f>L50</f>
        <v>2020</v>
      </c>
      <c r="J61" s="426">
        <f>O50</f>
        <v>2021</v>
      </c>
      <c r="K61" s="426">
        <f>R50</f>
        <v>2022</v>
      </c>
      <c r="L61" s="428" t="s">
        <v>132</v>
      </c>
      <c r="M61" s="429">
        <f>H61</f>
        <v>2019</v>
      </c>
      <c r="N61" s="429">
        <f t="shared" ref="N61:P61" si="27">I61</f>
        <v>2020</v>
      </c>
      <c r="O61" s="429">
        <f t="shared" si="27"/>
        <v>2021</v>
      </c>
      <c r="P61" s="429">
        <f t="shared" si="27"/>
        <v>2022</v>
      </c>
      <c r="R61" s="428" t="s">
        <v>132</v>
      </c>
      <c r="S61" s="523">
        <f>M61</f>
        <v>2019</v>
      </c>
      <c r="T61" s="429">
        <f>S61+1</f>
        <v>2020</v>
      </c>
      <c r="U61" s="429">
        <f t="shared" ref="U61:V61" si="28">T61+1</f>
        <v>2021</v>
      </c>
      <c r="V61" s="429">
        <f t="shared" si="28"/>
        <v>2022</v>
      </c>
    </row>
    <row r="62" spans="4:33" s="158" customFormat="1" ht="18" hidden="1" customHeight="1" x14ac:dyDescent="0.3">
      <c r="D62" s="159"/>
      <c r="E62" s="159"/>
      <c r="F62" s="374" t="s">
        <v>6</v>
      </c>
      <c r="G62" s="432">
        <v>0.4</v>
      </c>
      <c r="H62" s="427">
        <f>I53</f>
        <v>0</v>
      </c>
      <c r="I62" s="427">
        <f>L53</f>
        <v>0</v>
      </c>
      <c r="J62" s="427">
        <f>O53</f>
        <v>0</v>
      </c>
      <c r="K62" s="427">
        <f>R53</f>
        <v>0</v>
      </c>
      <c r="L62" s="431">
        <f>M32</f>
        <v>0</v>
      </c>
      <c r="M62" s="430">
        <f>$L62*H62/365</f>
        <v>0</v>
      </c>
      <c r="N62" s="430">
        <f t="shared" ref="N62:P62" si="29">$L62*I62/365</f>
        <v>0</v>
      </c>
      <c r="O62" s="430">
        <f t="shared" si="29"/>
        <v>0</v>
      </c>
      <c r="P62" s="430">
        <f t="shared" si="29"/>
        <v>0</v>
      </c>
      <c r="R62" s="431">
        <f>N41</f>
        <v>0</v>
      </c>
      <c r="S62" s="524">
        <f>$R62*H62/365</f>
        <v>0</v>
      </c>
      <c r="T62" s="430">
        <f>$R62*I62/365</f>
        <v>0</v>
      </c>
      <c r="U62" s="430">
        <f>$R62*J62/365</f>
        <v>0</v>
      </c>
      <c r="V62" s="430">
        <f>$R62*K62/365</f>
        <v>0</v>
      </c>
    </row>
    <row r="63" spans="4:33" s="158" customFormat="1" ht="18" hidden="1" customHeight="1" x14ac:dyDescent="0.3">
      <c r="D63" s="159"/>
      <c r="E63" s="159"/>
      <c r="F63" s="376" t="s">
        <v>105</v>
      </c>
      <c r="G63" s="433">
        <v>0.6</v>
      </c>
      <c r="H63" s="427">
        <f t="shared" ref="H63:H66" si="30">I54</f>
        <v>0</v>
      </c>
      <c r="I63" s="427">
        <f t="shared" ref="I63:I66" si="31">L54</f>
        <v>0</v>
      </c>
      <c r="J63" s="427">
        <f t="shared" ref="J63:J66" si="32">O54</f>
        <v>0</v>
      </c>
      <c r="K63" s="427">
        <f t="shared" ref="K63:K66" si="33">R54</f>
        <v>0</v>
      </c>
      <c r="L63" s="484">
        <f t="shared" ref="L63:L66" si="34">M33</f>
        <v>0</v>
      </c>
      <c r="M63" s="430">
        <f t="shared" ref="M63:M66" si="35">$L63*H63/365</f>
        <v>0</v>
      </c>
      <c r="N63" s="430">
        <f t="shared" ref="N63:N66" si="36">$L63*I63/365</f>
        <v>0</v>
      </c>
      <c r="O63" s="430">
        <f t="shared" ref="O63:O66" si="37">$L63*J63/365</f>
        <v>0</v>
      </c>
      <c r="P63" s="430">
        <f t="shared" ref="P63:P66" si="38">$L63*K63/365</f>
        <v>0</v>
      </c>
      <c r="Q63" s="2"/>
      <c r="R63" s="431">
        <f t="shared" ref="R63:R66" si="39">N42</f>
        <v>0</v>
      </c>
      <c r="S63" s="524">
        <f t="shared" ref="S63:S66" si="40">$R63*H63/365</f>
        <v>0</v>
      </c>
      <c r="T63" s="430">
        <f t="shared" ref="T63:V66" si="41">$R63*I63/365</f>
        <v>0</v>
      </c>
      <c r="U63" s="430">
        <f t="shared" si="41"/>
        <v>0</v>
      </c>
      <c r="V63" s="430">
        <f t="shared" si="41"/>
        <v>0</v>
      </c>
    </row>
    <row r="64" spans="4:33" s="158" customFormat="1" ht="18" hidden="1" customHeight="1" x14ac:dyDescent="0.3">
      <c r="D64" s="159"/>
      <c r="E64" s="159"/>
      <c r="F64" s="376" t="s">
        <v>106</v>
      </c>
      <c r="G64" s="433">
        <v>0.6</v>
      </c>
      <c r="H64" s="427">
        <f t="shared" si="30"/>
        <v>0</v>
      </c>
      <c r="I64" s="427">
        <f t="shared" si="31"/>
        <v>0</v>
      </c>
      <c r="J64" s="427">
        <f t="shared" si="32"/>
        <v>0</v>
      </c>
      <c r="K64" s="427">
        <f t="shared" si="33"/>
        <v>0</v>
      </c>
      <c r="L64" s="484">
        <f t="shared" si="34"/>
        <v>0</v>
      </c>
      <c r="M64" s="430">
        <f t="shared" si="35"/>
        <v>0</v>
      </c>
      <c r="N64" s="430">
        <f>$L64*I64/365</f>
        <v>0</v>
      </c>
      <c r="O64" s="430">
        <f t="shared" si="37"/>
        <v>0</v>
      </c>
      <c r="P64" s="430">
        <f t="shared" si="38"/>
        <v>0</v>
      </c>
      <c r="Q64" s="2"/>
      <c r="R64" s="431">
        <f t="shared" si="39"/>
        <v>0</v>
      </c>
      <c r="S64" s="524">
        <f t="shared" si="40"/>
        <v>0</v>
      </c>
      <c r="T64" s="430">
        <f t="shared" si="41"/>
        <v>0</v>
      </c>
      <c r="U64" s="430">
        <f t="shared" si="41"/>
        <v>0</v>
      </c>
      <c r="V64" s="430">
        <f t="shared" si="41"/>
        <v>0</v>
      </c>
    </row>
    <row r="65" spans="4:22" s="158" customFormat="1" ht="18" hidden="1" customHeight="1" x14ac:dyDescent="0.3">
      <c r="D65" s="159"/>
      <c r="E65" s="159"/>
      <c r="F65" s="376" t="s">
        <v>104</v>
      </c>
      <c r="G65" s="433">
        <v>0.6</v>
      </c>
      <c r="H65" s="427">
        <f t="shared" si="30"/>
        <v>0</v>
      </c>
      <c r="I65" s="427">
        <f t="shared" si="31"/>
        <v>0</v>
      </c>
      <c r="J65" s="427">
        <f t="shared" si="32"/>
        <v>0</v>
      </c>
      <c r="K65" s="427">
        <f t="shared" si="33"/>
        <v>0</v>
      </c>
      <c r="L65" s="431">
        <f t="shared" si="34"/>
        <v>0</v>
      </c>
      <c r="M65" s="430">
        <f t="shared" si="35"/>
        <v>0</v>
      </c>
      <c r="N65" s="430">
        <f t="shared" si="36"/>
        <v>0</v>
      </c>
      <c r="O65" s="430">
        <f t="shared" si="37"/>
        <v>0</v>
      </c>
      <c r="P65" s="430">
        <f t="shared" si="38"/>
        <v>0</v>
      </c>
      <c r="Q65" s="2"/>
      <c r="R65" s="431">
        <f t="shared" si="39"/>
        <v>0</v>
      </c>
      <c r="S65" s="524">
        <f t="shared" si="40"/>
        <v>0</v>
      </c>
      <c r="T65" s="430">
        <f t="shared" si="41"/>
        <v>0</v>
      </c>
      <c r="U65" s="430">
        <f t="shared" si="41"/>
        <v>0</v>
      </c>
      <c r="V65" s="430">
        <f t="shared" si="41"/>
        <v>0</v>
      </c>
    </row>
    <row r="66" spans="4:22" s="158" customFormat="1" ht="18" hidden="1" customHeight="1" thickBot="1" x14ac:dyDescent="0.35">
      <c r="D66" s="159"/>
      <c r="E66" s="159"/>
      <c r="F66" s="377" t="s">
        <v>107</v>
      </c>
      <c r="G66" s="434">
        <v>1</v>
      </c>
      <c r="H66" s="427">
        <f t="shared" si="30"/>
        <v>0</v>
      </c>
      <c r="I66" s="427">
        <f t="shared" si="31"/>
        <v>0</v>
      </c>
      <c r="J66" s="427">
        <f t="shared" si="32"/>
        <v>0</v>
      </c>
      <c r="K66" s="427">
        <f t="shared" si="33"/>
        <v>0</v>
      </c>
      <c r="L66" s="447">
        <f t="shared" si="34"/>
        <v>0</v>
      </c>
      <c r="M66" s="442">
        <f t="shared" si="35"/>
        <v>0</v>
      </c>
      <c r="N66" s="442">
        <f t="shared" si="36"/>
        <v>0</v>
      </c>
      <c r="O66" s="442">
        <f t="shared" si="37"/>
        <v>0</v>
      </c>
      <c r="P66" s="442">
        <f t="shared" si="38"/>
        <v>0</v>
      </c>
      <c r="Q66" s="2"/>
      <c r="R66" s="431">
        <f t="shared" si="39"/>
        <v>0</v>
      </c>
      <c r="S66" s="524">
        <f t="shared" si="40"/>
        <v>0</v>
      </c>
      <c r="T66" s="430">
        <f t="shared" si="41"/>
        <v>0</v>
      </c>
      <c r="U66" s="430">
        <f t="shared" si="41"/>
        <v>0</v>
      </c>
      <c r="V66" s="430">
        <f t="shared" si="41"/>
        <v>0</v>
      </c>
    </row>
    <row r="67" spans="4:22" s="158" customFormat="1" ht="18" hidden="1" customHeight="1" thickBot="1" x14ac:dyDescent="0.35">
      <c r="D67" s="159"/>
      <c r="G67" s="466">
        <f>H67+I67</f>
        <v>0</v>
      </c>
      <c r="H67" s="466">
        <f>SUM(H62:H66)</f>
        <v>0</v>
      </c>
      <c r="I67" s="466">
        <f>SUM(I62:I66)</f>
        <v>0</v>
      </c>
      <c r="J67" s="507">
        <f ca="1">D15</f>
        <v>700</v>
      </c>
      <c r="K67" s="452" t="s">
        <v>139</v>
      </c>
      <c r="L67" s="467">
        <f>M67+N67+O67+P67</f>
        <v>0</v>
      </c>
      <c r="M67" s="443">
        <f>SUM(M63:M64)</f>
        <v>0</v>
      </c>
      <c r="N67" s="443">
        <f t="shared" ref="N67:O67" si="42">SUM(N63:N64)</f>
        <v>0</v>
      </c>
      <c r="O67" s="443">
        <f t="shared" si="42"/>
        <v>0</v>
      </c>
      <c r="P67" s="443">
        <f>SUM(P63:P64)</f>
        <v>0</v>
      </c>
      <c r="Q67" s="452" t="s">
        <v>139</v>
      </c>
      <c r="R67" s="448">
        <f>S67+T67+U67+V67</f>
        <v>0</v>
      </c>
      <c r="S67" s="525">
        <f>SUM(S63:S64)</f>
        <v>0</v>
      </c>
      <c r="T67" s="443">
        <f t="shared" ref="T67:U67" si="43">SUM(T63:T64)</f>
        <v>0</v>
      </c>
      <c r="U67" s="443">
        <f t="shared" si="43"/>
        <v>0</v>
      </c>
      <c r="V67" s="443">
        <f>SUM(V63:V64)</f>
        <v>0</v>
      </c>
    </row>
    <row r="68" spans="4:22" s="158" customFormat="1" ht="18" hidden="1" customHeight="1" x14ac:dyDescent="0.25">
      <c r="D68" s="159"/>
      <c r="K68" s="450" t="s">
        <v>138</v>
      </c>
      <c r="L68" s="483">
        <f ca="1">SUM(M68:P68)</f>
        <v>0</v>
      </c>
      <c r="M68" s="440">
        <f ca="1">MIN($J67,M67)</f>
        <v>0</v>
      </c>
      <c r="N68" s="440">
        <f ca="1">MIN($J67,N67)</f>
        <v>0</v>
      </c>
      <c r="O68" s="440">
        <f ca="1">MIN($J67,O67)</f>
        <v>0</v>
      </c>
      <c r="P68" s="441">
        <f ca="1">MIN($J67,P67)</f>
        <v>0</v>
      </c>
      <c r="Q68" s="450" t="s">
        <v>138</v>
      </c>
      <c r="R68" s="449">
        <f ca="1">SUM(S68:V68)</f>
        <v>0</v>
      </c>
      <c r="S68" s="526">
        <f ca="1">MIN($J67,S67)</f>
        <v>0</v>
      </c>
      <c r="T68" s="440">
        <f ca="1">MIN($J67,T67)</f>
        <v>0</v>
      </c>
      <c r="U68" s="440">
        <f ca="1">MIN($J67,U67)</f>
        <v>0</v>
      </c>
      <c r="V68" s="441">
        <f ca="1">MIN($J67,V67)</f>
        <v>0</v>
      </c>
    </row>
    <row r="69" spans="4:22" s="158" customFormat="1" ht="18" hidden="1" customHeight="1" thickBot="1" x14ac:dyDescent="0.3">
      <c r="D69" s="159"/>
      <c r="K69" s="451" t="s">
        <v>137</v>
      </c>
      <c r="L69" s="445">
        <f ca="1">SUM(M69:P69)</f>
        <v>0</v>
      </c>
      <c r="M69" s="446">
        <f ca="1">M67-M68</f>
        <v>0</v>
      </c>
      <c r="N69" s="444">
        <f t="shared" ref="N69:P69" ca="1" si="44">N67-N68</f>
        <v>0</v>
      </c>
      <c r="O69" s="444">
        <f t="shared" ca="1" si="44"/>
        <v>0</v>
      </c>
      <c r="P69" s="445">
        <f t="shared" ca="1" si="44"/>
        <v>0</v>
      </c>
      <c r="Q69" s="451" t="s">
        <v>137</v>
      </c>
      <c r="R69" s="445">
        <f ca="1">SUM(S69:V69)</f>
        <v>0</v>
      </c>
      <c r="S69" s="527">
        <f ca="1">S67-S68</f>
        <v>0</v>
      </c>
      <c r="T69" s="444">
        <f t="shared" ref="T69" ca="1" si="45">T67-T68</f>
        <v>0</v>
      </c>
      <c r="U69" s="444">
        <f t="shared" ref="U69" ca="1" si="46">U67-U68</f>
        <v>0</v>
      </c>
      <c r="V69" s="445">
        <f t="shared" ref="V69" ca="1" si="47">V67-V68</f>
        <v>0</v>
      </c>
    </row>
    <row r="70" spans="4:22" s="158" customFormat="1" ht="18" hidden="1" customHeight="1" x14ac:dyDescent="0.25">
      <c r="D70" s="159"/>
      <c r="S70" s="515"/>
    </row>
    <row r="71" spans="4:22" s="158" customFormat="1" ht="18" hidden="1" customHeight="1" x14ac:dyDescent="0.25">
      <c r="D71" s="159"/>
      <c r="S71" s="515"/>
    </row>
    <row r="72" spans="4:22" s="158" customFormat="1" ht="16.5" hidden="1" customHeight="1" x14ac:dyDescent="0.25">
      <c r="S72" s="515"/>
    </row>
    <row r="73" spans="4:22" s="158" customFormat="1" ht="16.5" hidden="1" customHeight="1" x14ac:dyDescent="0.25">
      <c r="S73" s="515"/>
    </row>
    <row r="74" spans="4:22" s="158" customFormat="1" ht="16.5" hidden="1" customHeight="1" x14ac:dyDescent="0.25">
      <c r="Q74" s="2"/>
      <c r="R74" s="2"/>
      <c r="S74" s="522"/>
      <c r="T74" s="2"/>
      <c r="U74" s="2"/>
    </row>
    <row r="75" spans="4:22" s="158" customFormat="1" ht="16.5" hidden="1" customHeight="1" x14ac:dyDescent="0.25">
      <c r="Q75" s="2"/>
      <c r="R75" s="2"/>
      <c r="S75" s="522"/>
      <c r="T75" s="2"/>
      <c r="U75" s="2"/>
    </row>
    <row r="76" spans="4:22" s="158" customFormat="1" ht="16.5" hidden="1" customHeight="1" x14ac:dyDescent="0.25">
      <c r="Q76" s="2"/>
      <c r="R76" s="2"/>
      <c r="S76" s="522"/>
      <c r="T76" s="2"/>
      <c r="U76" s="2"/>
    </row>
    <row r="77" spans="4:22" s="157" customFormat="1" ht="21.6" hidden="1" customHeight="1" x14ac:dyDescent="0.25">
      <c r="Q77" s="2"/>
      <c r="R77" s="2"/>
      <c r="S77" s="522"/>
      <c r="T77" s="2"/>
      <c r="U77" s="2"/>
    </row>
    <row r="78" spans="4:22" s="157" customFormat="1" ht="21.6" hidden="1" customHeight="1" x14ac:dyDescent="0.25">
      <c r="Q78" s="2"/>
      <c r="R78" s="2"/>
      <c r="S78" s="522"/>
      <c r="T78" s="2"/>
      <c r="U78" s="2"/>
    </row>
    <row r="79" spans="4:22" s="157" customFormat="1" ht="21.6" hidden="1" customHeight="1" x14ac:dyDescent="0.25">
      <c r="Q79" s="2"/>
      <c r="R79" s="2"/>
      <c r="S79" s="522"/>
      <c r="T79" s="2"/>
      <c r="U79" s="2"/>
    </row>
    <row r="80" spans="4:22" s="157" customFormat="1" ht="21.6" hidden="1" customHeight="1" x14ac:dyDescent="0.25">
      <c r="Q80" s="2"/>
      <c r="R80" s="2"/>
      <c r="S80" s="522"/>
      <c r="T80" s="2"/>
      <c r="U80" s="2"/>
    </row>
    <row r="81" spans="17:21" s="157" customFormat="1" ht="21.6" hidden="1" customHeight="1" x14ac:dyDescent="0.25">
      <c r="Q81" s="2"/>
      <c r="R81" s="2"/>
      <c r="S81" s="522"/>
      <c r="T81" s="2"/>
      <c r="U81" s="2"/>
    </row>
    <row r="82" spans="17:21" s="157" customFormat="1" ht="21.6" hidden="1" customHeight="1" x14ac:dyDescent="0.25">
      <c r="Q82" s="2"/>
      <c r="R82" s="2"/>
      <c r="S82" s="522"/>
      <c r="T82" s="2"/>
      <c r="U82" s="2"/>
    </row>
    <row r="83" spans="17:21" s="157" customFormat="1" ht="21.6" hidden="1" customHeight="1" x14ac:dyDescent="0.25">
      <c r="Q83" s="2"/>
      <c r="R83" s="2"/>
      <c r="S83" s="522"/>
      <c r="T83" s="2"/>
      <c r="U83" s="2"/>
    </row>
    <row r="84" spans="17:21" s="157" customFormat="1" ht="21.6" hidden="1" customHeight="1" x14ac:dyDescent="0.25">
      <c r="Q84" s="2"/>
      <c r="R84" s="2"/>
      <c r="S84" s="522"/>
      <c r="T84" s="2"/>
      <c r="U84" s="2"/>
    </row>
    <row r="85" spans="17:21" s="157" customFormat="1" ht="21.6" hidden="1" customHeight="1" x14ac:dyDescent="0.25">
      <c r="Q85" s="2"/>
      <c r="R85" s="2"/>
      <c r="S85" s="522"/>
      <c r="T85" s="2"/>
      <c r="U85" s="2"/>
    </row>
    <row r="86" spans="17:21" s="157" customFormat="1" ht="21.6" hidden="1" customHeight="1" x14ac:dyDescent="0.25">
      <c r="Q86" s="2"/>
      <c r="R86" s="2"/>
      <c r="S86" s="522"/>
      <c r="T86" s="2"/>
      <c r="U86" s="2"/>
    </row>
    <row r="87" spans="17:21" s="157" customFormat="1" ht="21.6" hidden="1" customHeight="1" x14ac:dyDescent="0.25">
      <c r="Q87" s="2"/>
      <c r="R87" s="2"/>
      <c r="S87" s="522"/>
      <c r="T87" s="2"/>
      <c r="U87" s="2"/>
    </row>
    <row r="88" spans="17:21" s="157" customFormat="1" ht="21.6" hidden="1" customHeight="1" x14ac:dyDescent="0.25">
      <c r="Q88" s="2"/>
      <c r="R88" s="2"/>
      <c r="S88" s="522"/>
      <c r="T88" s="2"/>
      <c r="U88" s="2"/>
    </row>
    <row r="89" spans="17:21" s="157" customFormat="1" ht="21.6" hidden="1" customHeight="1" x14ac:dyDescent="0.25">
      <c r="S89" s="515"/>
      <c r="T89" s="2"/>
      <c r="U89" s="2"/>
    </row>
    <row r="90" spans="17:21" s="157" customFormat="1" ht="21.6" hidden="1" customHeight="1" x14ac:dyDescent="0.25">
      <c r="S90" s="515"/>
    </row>
    <row r="91" spans="17:21" s="157" customFormat="1" ht="21.6" hidden="1" customHeight="1" x14ac:dyDescent="0.25">
      <c r="S91" s="515"/>
    </row>
    <row r="92" spans="17:21" s="157" customFormat="1" ht="27.75" hidden="1" customHeight="1" x14ac:dyDescent="0.25">
      <c r="S92" s="515"/>
    </row>
    <row r="93" spans="17:21" s="157" customFormat="1" ht="27.75" hidden="1" customHeight="1" x14ac:dyDescent="0.25">
      <c r="S93" s="515"/>
    </row>
    <row r="94" spans="17:21" s="157" customFormat="1" ht="27.75" hidden="1" customHeight="1" x14ac:dyDescent="0.25">
      <c r="S94" s="515"/>
    </row>
    <row r="95" spans="17:21" s="157" customFormat="1" ht="27.75" hidden="1" customHeight="1" x14ac:dyDescent="0.25">
      <c r="S95" s="515"/>
    </row>
    <row r="96" spans="17:21" s="157" customFormat="1" ht="27.75" hidden="1" customHeight="1" x14ac:dyDescent="0.25">
      <c r="S96" s="515"/>
    </row>
    <row r="97" spans="6:19" s="157" customFormat="1" ht="27.75" hidden="1" customHeight="1" x14ac:dyDescent="0.25">
      <c r="S97" s="515"/>
    </row>
    <row r="98" spans="6:19" s="157" customFormat="1" ht="27.75" hidden="1" customHeight="1" x14ac:dyDescent="0.25">
      <c r="S98" s="515"/>
    </row>
    <row r="99" spans="6:19" s="148" customFormat="1" ht="27.75" hidden="1" customHeight="1" x14ac:dyDescent="0.25">
      <c r="S99" s="515"/>
    </row>
    <row r="100" spans="6:19" ht="27.75" hidden="1" customHeight="1" x14ac:dyDescent="0.25">
      <c r="F100" s="157"/>
    </row>
    <row r="101" spans="6:19" ht="27.75" customHeight="1" x14ac:dyDescent="0.25"/>
    <row r="102" spans="6:19" ht="27.75" customHeight="1" x14ac:dyDescent="0.25"/>
    <row r="103" spans="6:19" ht="27.75" customHeight="1" x14ac:dyDescent="0.25"/>
    <row r="104" spans="6:19" ht="27.75" customHeight="1" x14ac:dyDescent="0.25"/>
    <row r="105" spans="6:19" ht="27.75" customHeight="1" x14ac:dyDescent="0.25"/>
    <row r="106" spans="6:19" ht="27.75" customHeight="1" x14ac:dyDescent="0.25"/>
    <row r="107" spans="6:19" ht="27.75" customHeight="1" x14ac:dyDescent="0.25"/>
    <row r="108" spans="6:19" ht="27.75" customHeight="1" x14ac:dyDescent="0.25"/>
    <row r="109" spans="6:19" ht="27.75" customHeight="1" x14ac:dyDescent="0.25"/>
    <row r="110" spans="6:19" ht="27.75" customHeight="1" x14ac:dyDescent="0.25"/>
    <row r="111" spans="6:19" ht="27.75" customHeight="1" x14ac:dyDescent="0.25"/>
    <row r="112" spans="6:19" ht="27.75" customHeight="1" x14ac:dyDescent="0.25"/>
    <row r="113" ht="27.75" customHeight="1" x14ac:dyDescent="0.25"/>
    <row r="114" ht="27.75" customHeight="1" x14ac:dyDescent="0.25"/>
    <row r="131" ht="192.6" customHeight="1" x14ac:dyDescent="0.25"/>
  </sheetData>
  <sheetProtection password="8D14" sheet="1" objects="1" scenarios="1" selectLockedCells="1"/>
  <mergeCells count="2">
    <mergeCell ref="B8:C8"/>
    <mergeCell ref="B17:C17"/>
  </mergeCells>
  <conditionalFormatting sqref="Y43:AE43">
    <cfRule type="expression" dxfId="101" priority="134">
      <formula>$E$15=1</formula>
    </cfRule>
  </conditionalFormatting>
  <conditionalFormatting sqref="AA38:AE38 G50 G52:G53">
    <cfRule type="cellIs" dxfId="100" priority="122" operator="equal">
      <formula>" &lt;=Virheellinen päivämärä!"</formula>
    </cfRule>
  </conditionalFormatting>
  <conditionalFormatting sqref="Z34">
    <cfRule type="cellIs" dxfId="99" priority="103" operator="equal">
      <formula>" &lt;=Virheellinen päivämärä!"</formula>
    </cfRule>
  </conditionalFormatting>
  <conditionalFormatting sqref="Z41">
    <cfRule type="cellIs" dxfId="98" priority="101" operator="equal">
      <formula>" &lt;=Virheellinen päivämärä!"</formula>
    </cfRule>
  </conditionalFormatting>
  <conditionalFormatting sqref="AA33">
    <cfRule type="cellIs" dxfId="97" priority="99" operator="equal">
      <formula>" &lt;=Virheellinen päivämärä!"</formula>
    </cfRule>
  </conditionalFormatting>
  <conditionalFormatting sqref="AB33">
    <cfRule type="cellIs" dxfId="96" priority="97" operator="equal">
      <formula>" &lt;=Virheellinen päivämärä!"</formula>
    </cfRule>
  </conditionalFormatting>
  <conditionalFormatting sqref="AC33">
    <cfRule type="cellIs" dxfId="95" priority="95" operator="equal">
      <formula>" &lt;=Virheellinen päivämärä!"</formula>
    </cfRule>
  </conditionalFormatting>
  <conditionalFormatting sqref="AD33">
    <cfRule type="cellIs" dxfId="94" priority="93" operator="equal">
      <formula>" &lt;=Virheellinen päivämärä!"</formula>
    </cfRule>
  </conditionalFormatting>
  <conditionalFormatting sqref="AA43:AE43">
    <cfRule type="cellIs" dxfId="93" priority="70" operator="equal">
      <formula>0</formula>
    </cfRule>
    <cfRule type="cellIs" dxfId="92" priority="75" operator="equal">
      <formula>" &lt;=Virheellinen päivämärä!"</formula>
    </cfRule>
  </conditionalFormatting>
  <conditionalFormatting sqref="AE33">
    <cfRule type="cellIs" dxfId="91" priority="73" operator="equal">
      <formula>" &lt;=Virheellinen päivämärä!"</formula>
    </cfRule>
  </conditionalFormatting>
  <conditionalFormatting sqref="AA38:AE38">
    <cfRule type="cellIs" dxfId="90" priority="71" operator="lessThan">
      <formula>21715</formula>
    </cfRule>
  </conditionalFormatting>
  <conditionalFormatting sqref="Z46:AE46">
    <cfRule type="cellIs" dxfId="89" priority="69" operator="equal">
      <formula>0</formula>
    </cfRule>
  </conditionalFormatting>
  <conditionalFormatting sqref="E14:O14">
    <cfRule type="expression" dxfId="88" priority="67">
      <formula>$E$14=1</formula>
    </cfRule>
  </conditionalFormatting>
  <conditionalFormatting sqref="E15:O15">
    <cfRule type="expression" dxfId="87" priority="66">
      <formula>$E$15=1</formula>
    </cfRule>
  </conditionalFormatting>
  <conditionalFormatting sqref="E20:O20">
    <cfRule type="expression" dxfId="86" priority="65">
      <formula>$E$20=1</formula>
    </cfRule>
  </conditionalFormatting>
  <conditionalFormatting sqref="E23:O23">
    <cfRule type="expression" dxfId="85" priority="64">
      <formula>$E$23=1</formula>
    </cfRule>
  </conditionalFormatting>
  <conditionalFormatting sqref="E24:O24">
    <cfRule type="expression" dxfId="84" priority="63">
      <formula>$E$24=1</formula>
    </cfRule>
  </conditionalFormatting>
  <conditionalFormatting sqref="E25:O25">
    <cfRule type="expression" dxfId="83" priority="62">
      <formula>$E$25=1</formula>
    </cfRule>
  </conditionalFormatting>
  <conditionalFormatting sqref="E21:O21">
    <cfRule type="expression" dxfId="82" priority="61">
      <formula>$E$21=1</formula>
    </cfRule>
  </conditionalFormatting>
  <conditionalFormatting sqref="E22:O22">
    <cfRule type="expression" dxfId="81" priority="60">
      <formula>$E$22=1</formula>
    </cfRule>
  </conditionalFormatting>
  <conditionalFormatting sqref="M15:N15">
    <cfRule type="cellIs" dxfId="80" priority="59" operator="greaterThan">
      <formula>0</formula>
    </cfRule>
  </conditionalFormatting>
  <conditionalFormatting sqref="E16:F16 H16:O16">
    <cfRule type="expression" dxfId="79" priority="58">
      <formula>$E$16=1</formula>
    </cfRule>
  </conditionalFormatting>
  <conditionalFormatting sqref="M16:N16">
    <cfRule type="cellIs" dxfId="78" priority="57" operator="greaterThan">
      <formula>0</formula>
    </cfRule>
  </conditionalFormatting>
  <conditionalFormatting sqref="I26:K26">
    <cfRule type="cellIs" dxfId="77" priority="55" operator="greaterThan">
      <formula>0</formula>
    </cfRule>
  </conditionalFormatting>
  <conditionalFormatting sqref="H7:I7">
    <cfRule type="cellIs" dxfId="76" priority="54" operator="equal">
      <formula>" &lt;=Virheellinen päivämärä!"</formula>
    </cfRule>
  </conditionalFormatting>
  <conditionalFormatting sqref="I7 AA38:AE38 Z34 Z41 AA43:AE43 AA33:AE33 L5:L8 L10 G50 G52:G56">
    <cfRule type="expression" dxfId="75" priority="52">
      <formula>NOT($I$7+1)</formula>
    </cfRule>
  </conditionalFormatting>
  <conditionalFormatting sqref="E14">
    <cfRule type="cellIs" dxfId="74" priority="51" operator="greaterThan">
      <formula>1</formula>
    </cfRule>
  </conditionalFormatting>
  <conditionalFormatting sqref="I18">
    <cfRule type="expression" dxfId="73" priority="50">
      <formula>$E$18=1</formula>
    </cfRule>
  </conditionalFormatting>
  <conditionalFormatting sqref="G16">
    <cfRule type="expression" dxfId="72" priority="49">
      <formula>$E$16=1</formula>
    </cfRule>
  </conditionalFormatting>
  <conditionalFormatting sqref="D18">
    <cfRule type="cellIs" dxfId="71" priority="48" operator="equal">
      <formula>0</formula>
    </cfRule>
  </conditionalFormatting>
  <conditionalFormatting sqref="D19">
    <cfRule type="cellIs" dxfId="70" priority="47" operator="equal">
      <formula>0</formula>
    </cfRule>
  </conditionalFormatting>
  <conditionalFormatting sqref="D20">
    <cfRule type="cellIs" dxfId="69" priority="46" operator="equal">
      <formula>0</formula>
    </cfRule>
  </conditionalFormatting>
  <conditionalFormatting sqref="D24">
    <cfRule type="cellIs" dxfId="68" priority="45" operator="equal">
      <formula>0</formula>
    </cfRule>
  </conditionalFormatting>
  <conditionalFormatting sqref="D23">
    <cfRule type="cellIs" dxfId="67" priority="44" operator="equal">
      <formula>0</formula>
    </cfRule>
  </conditionalFormatting>
  <conditionalFormatting sqref="D25">
    <cfRule type="cellIs" dxfId="66" priority="43" operator="equal">
      <formula>0</formula>
    </cfRule>
  </conditionalFormatting>
  <conditionalFormatting sqref="D21">
    <cfRule type="cellIs" dxfId="65" priority="42" operator="equal">
      <formula>0</formula>
    </cfRule>
  </conditionalFormatting>
  <conditionalFormatting sqref="D22">
    <cfRule type="cellIs" dxfId="64" priority="41" operator="equal">
      <formula>0</formula>
    </cfRule>
  </conditionalFormatting>
  <conditionalFormatting sqref="E18:O18">
    <cfRule type="expression" dxfId="63" priority="40">
      <formula>$E$18=1</formula>
    </cfRule>
  </conditionalFormatting>
  <conditionalFormatting sqref="E19:O19">
    <cfRule type="expression" dxfId="62" priority="39">
      <formula>$E$19=1</formula>
    </cfRule>
  </conditionalFormatting>
  <conditionalFormatting sqref="D16">
    <cfRule type="cellIs" dxfId="61" priority="38" operator="equal">
      <formula>0</formula>
    </cfRule>
  </conditionalFormatting>
  <conditionalFormatting sqref="B17">
    <cfRule type="cellIs" dxfId="60" priority="37" operator="equal">
      <formula>0</formula>
    </cfRule>
  </conditionalFormatting>
  <conditionalFormatting sqref="L5">
    <cfRule type="cellIs" dxfId="59" priority="36" operator="equal">
      <formula>" &lt;=Virheellinen päivämärä!"</formula>
    </cfRule>
  </conditionalFormatting>
  <conditionalFormatting sqref="L6:L8">
    <cfRule type="cellIs" dxfId="58" priority="34" operator="equal">
      <formula>" &lt;=Virheellinen päivämärä!"</formula>
    </cfRule>
  </conditionalFormatting>
  <conditionalFormatting sqref="G17">
    <cfRule type="expression" dxfId="57" priority="24">
      <formula>$E$17=1</formula>
    </cfRule>
    <cfRule type="cellIs" dxfId="56" priority="32" operator="equal">
      <formula>0</formula>
    </cfRule>
  </conditionalFormatting>
  <conditionalFormatting sqref="L10">
    <cfRule type="cellIs" dxfId="55" priority="29" operator="equal">
      <formula>" &lt;=Virheellinen päivämärä!"</formula>
    </cfRule>
  </conditionalFormatting>
  <conditionalFormatting sqref="L10">
    <cfRule type="cellIs" dxfId="54" priority="28" operator="equal">
      <formula>" &lt;=Virheellinen päivämärä!"</formula>
    </cfRule>
  </conditionalFormatting>
  <conditionalFormatting sqref="I8">
    <cfRule type="cellIs" dxfId="53" priority="27" operator="greaterThanOrEqual">
      <formula>$J$7</formula>
    </cfRule>
  </conditionalFormatting>
  <conditionalFormatting sqref="G54:G56">
    <cfRule type="cellIs" dxfId="52" priority="21" operator="equal">
      <formula>" &lt;=Virheellinen päivämärä!"</formula>
    </cfRule>
  </conditionalFormatting>
  <conditionalFormatting sqref="H62:K66">
    <cfRule type="cellIs" dxfId="51" priority="20" operator="greaterThan">
      <formula>0</formula>
    </cfRule>
  </conditionalFormatting>
  <conditionalFormatting sqref="M62:P66">
    <cfRule type="cellIs" dxfId="50" priority="19" operator="greaterThan">
      <formula>0</formula>
    </cfRule>
  </conditionalFormatting>
  <conditionalFormatting sqref="M68">
    <cfRule type="cellIs" dxfId="49" priority="18" operator="lessThan">
      <formula>$M$67</formula>
    </cfRule>
  </conditionalFormatting>
  <conditionalFormatting sqref="N68">
    <cfRule type="cellIs" dxfId="48" priority="17" operator="lessThan">
      <formula>$N$67</formula>
    </cfRule>
  </conditionalFormatting>
  <conditionalFormatting sqref="O68">
    <cfRule type="cellIs" dxfId="47" priority="16" operator="lessThan">
      <formula>$O$67</formula>
    </cfRule>
  </conditionalFormatting>
  <conditionalFormatting sqref="P68">
    <cfRule type="cellIs" dxfId="46" priority="15" operator="lessThan">
      <formula>$P$67</formula>
    </cfRule>
  </conditionalFormatting>
  <conditionalFormatting sqref="S62:V66">
    <cfRule type="cellIs" dxfId="45" priority="14" operator="greaterThan">
      <formula>0</formula>
    </cfRule>
  </conditionalFormatting>
  <conditionalFormatting sqref="S68">
    <cfRule type="cellIs" dxfId="44" priority="13" operator="lessThan">
      <formula>$M$67</formula>
    </cfRule>
  </conditionalFormatting>
  <conditionalFormatting sqref="T68">
    <cfRule type="cellIs" dxfId="43" priority="12" operator="lessThan">
      <formula>$N$67</formula>
    </cfRule>
  </conditionalFormatting>
  <conditionalFormatting sqref="U68">
    <cfRule type="cellIs" dxfId="42" priority="11" operator="lessThan">
      <formula>$O$67</formula>
    </cfRule>
  </conditionalFormatting>
  <conditionalFormatting sqref="V68">
    <cfRule type="cellIs" dxfId="41" priority="10" operator="lessThan">
      <formula>$P$67</formula>
    </cfRule>
  </conditionalFormatting>
  <conditionalFormatting sqref="I5">
    <cfRule type="cellIs" dxfId="40" priority="9" operator="greaterThan">
      <formula>1</formula>
    </cfRule>
  </conditionalFormatting>
  <conditionalFormatting sqref="AH43">
    <cfRule type="expression" dxfId="39" priority="7">
      <formula>$E$15=1</formula>
    </cfRule>
  </conditionalFormatting>
  <conditionalFormatting sqref="AH38">
    <cfRule type="cellIs" dxfId="38" priority="6" operator="equal">
      <formula>" &lt;=Virheellinen päivämärä!"</formula>
    </cfRule>
  </conditionalFormatting>
  <conditionalFormatting sqref="AH43">
    <cfRule type="cellIs" dxfId="37" priority="3" operator="equal">
      <formula>0</formula>
    </cfRule>
    <cfRule type="cellIs" dxfId="36" priority="5" operator="equal">
      <formula>" &lt;=Virheellinen päivämärä!"</formula>
    </cfRule>
  </conditionalFormatting>
  <conditionalFormatting sqref="AH38">
    <cfRule type="cellIs" dxfId="35" priority="4" operator="lessThan">
      <formula>21715</formula>
    </cfRule>
  </conditionalFormatting>
  <conditionalFormatting sqref="AH46">
    <cfRule type="cellIs" dxfId="34" priority="2" operator="equal">
      <formula>0</formula>
    </cfRule>
  </conditionalFormatting>
  <conditionalFormatting sqref="AH38 AH43">
    <cfRule type="expression" dxfId="33" priority="1">
      <formula>NOT($I$7+1)</formula>
    </cfRule>
  </conditionalFormatting>
  <pageMargins left="0.7" right="0.7" top="0.75" bottom="0.75" header="0.3" footer="0.3"/>
  <pageSetup paperSize="9" orientation="portrait" r:id="rId1"/>
  <headerFooter alignWithMargins="0"/>
  <ignoredErrors>
    <ignoredError sqref="J2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8</xdr:col>
                    <xdr:colOff>0</xdr:colOff>
                    <xdr:row>1</xdr:row>
                    <xdr:rowOff>171450</xdr:rowOff>
                  </from>
                  <to>
                    <xdr:col>9</xdr:col>
                    <xdr:colOff>0</xdr:colOff>
                    <xdr:row>2</xdr:row>
                    <xdr:rowOff>228600</xdr:rowOff>
                  </to>
                </anchor>
              </controlPr>
            </control>
          </mc:Choice>
        </mc:AlternateContent>
        <mc:AlternateContent xmlns:mc="http://schemas.openxmlformats.org/markup-compatibility/2006">
          <mc:Choice Requires="x14">
            <control shapeId="1936" r:id="rId5" name="Scroll Bar 912">
              <controlPr defaultSize="0" autoPict="0">
                <anchor moveWithCells="1">
                  <from>
                    <xdr:col>9</xdr:col>
                    <xdr:colOff>76200</xdr:colOff>
                    <xdr:row>7</xdr:row>
                    <xdr:rowOff>47625</xdr:rowOff>
                  </from>
                  <to>
                    <xdr:col>9</xdr:col>
                    <xdr:colOff>752475</xdr:colOff>
                    <xdr:row>8</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H731"/>
  <sheetViews>
    <sheetView showRowColHeaders="0" workbookViewId="0">
      <selection activeCell="M13" sqref="M13"/>
    </sheetView>
  </sheetViews>
  <sheetFormatPr defaultRowHeight="15" x14ac:dyDescent="0.25"/>
  <cols>
    <col min="1" max="1" width="5.7109375" style="2" customWidth="1"/>
    <col min="2" max="2" width="8.85546875" style="2"/>
    <col min="3" max="3" width="4.42578125" style="2" customWidth="1"/>
    <col min="4" max="4" width="2" style="2" customWidth="1"/>
    <col min="5" max="5" width="59" customWidth="1"/>
    <col min="6" max="14" width="8.7109375" customWidth="1"/>
    <col min="15" max="15" width="9" style="2" customWidth="1"/>
    <col min="16" max="16" width="8.85546875" style="2"/>
    <col min="17" max="17" width="10.28515625" style="2" customWidth="1"/>
    <col min="18" max="18" width="10.42578125" style="2" hidden="1" customWidth="1"/>
    <col min="19" max="19" width="10.42578125" style="2" customWidth="1"/>
    <col min="20" max="21" width="35.7109375" style="2" customWidth="1"/>
    <col min="22" max="22" width="99.85546875" style="2" customWidth="1"/>
    <col min="23" max="164" width="8.85546875" style="2"/>
  </cols>
  <sheetData>
    <row r="1" spans="1:24" ht="7.5" customHeight="1" x14ac:dyDescent="0.25">
      <c r="A1" s="1"/>
      <c r="B1" s="1"/>
      <c r="C1" s="1"/>
      <c r="D1" s="1"/>
      <c r="E1" s="1"/>
      <c r="F1" s="1"/>
      <c r="G1" s="1"/>
      <c r="H1" s="1"/>
      <c r="I1" s="1"/>
      <c r="J1" s="1"/>
      <c r="K1" s="1"/>
      <c r="L1" s="1"/>
      <c r="M1" s="1"/>
      <c r="N1" s="1"/>
      <c r="O1" s="1"/>
      <c r="P1" s="1"/>
      <c r="Q1" s="1"/>
      <c r="R1" s="1"/>
      <c r="S1" s="1"/>
      <c r="T1" s="1"/>
      <c r="U1" s="1"/>
      <c r="V1" s="1"/>
    </row>
    <row r="2" spans="1:24" ht="22.5" x14ac:dyDescent="0.3">
      <c r="A2" s="1"/>
      <c r="B2" s="1"/>
      <c r="C2" s="1"/>
      <c r="D2" s="1"/>
      <c r="E2" s="132" t="str">
        <f>'Valitut tuet'!B1</f>
        <v>eMulli2 Tukilaskuri</v>
      </c>
      <c r="F2" s="285" t="s">
        <v>68</v>
      </c>
      <c r="G2" s="13"/>
      <c r="H2" s="13"/>
      <c r="I2" s="13"/>
      <c r="J2" s="13"/>
      <c r="K2" s="13"/>
      <c r="L2" s="13"/>
      <c r="M2" s="13"/>
      <c r="N2" s="13"/>
      <c r="O2" s="13"/>
      <c r="P2" s="13"/>
      <c r="Q2" s="13"/>
      <c r="R2" s="14"/>
      <c r="S2" s="1"/>
      <c r="T2" s="1"/>
      <c r="U2" s="1"/>
      <c r="V2" s="1"/>
    </row>
    <row r="3" spans="1:24" ht="15" customHeight="1" x14ac:dyDescent="0.25">
      <c r="A3" s="1"/>
      <c r="B3" s="1"/>
      <c r="C3" s="1"/>
      <c r="D3" s="1"/>
      <c r="E3" s="15" t="str">
        <f>'Valitut tuet'!E2</f>
        <v xml:space="preserve"> Versio 1.0   13.3.2019</v>
      </c>
      <c r="F3" s="13"/>
      <c r="G3" s="13"/>
      <c r="H3" s="13"/>
      <c r="I3" s="13"/>
      <c r="J3" s="13"/>
      <c r="K3" s="13"/>
      <c r="L3" s="13"/>
      <c r="M3" s="13"/>
      <c r="N3" s="13"/>
      <c r="O3" s="13"/>
      <c r="P3" s="13"/>
      <c r="Q3" s="13"/>
      <c r="R3" s="1"/>
      <c r="S3" s="1"/>
      <c r="T3" s="1"/>
      <c r="U3" s="1"/>
      <c r="V3" s="1"/>
      <c r="X3" s="16"/>
    </row>
    <row r="4" spans="1:24" ht="3" customHeight="1" x14ac:dyDescent="0.25">
      <c r="A4" s="1"/>
      <c r="B4" s="1"/>
      <c r="C4" s="1"/>
      <c r="D4" s="1"/>
      <c r="E4" s="1"/>
      <c r="F4" s="1"/>
      <c r="G4" s="1"/>
      <c r="H4" s="1"/>
      <c r="I4" s="1"/>
      <c r="J4" s="1"/>
      <c r="K4" s="1"/>
      <c r="L4" s="1"/>
      <c r="M4" s="1"/>
      <c r="N4" s="1"/>
      <c r="O4" s="1"/>
      <c r="P4" s="1"/>
      <c r="Q4" s="1"/>
      <c r="R4" s="1"/>
      <c r="S4" s="1"/>
      <c r="T4" s="1"/>
      <c r="U4" s="1"/>
      <c r="V4" s="1"/>
      <c r="X4" s="17"/>
    </row>
    <row r="5" spans="1:24" ht="3.75" customHeight="1" x14ac:dyDescent="0.25">
      <c r="A5" s="1"/>
      <c r="B5" s="1"/>
      <c r="C5" s="1"/>
      <c r="D5" s="1"/>
      <c r="E5" s="1"/>
      <c r="F5" s="1"/>
      <c r="G5" s="1"/>
      <c r="H5" s="1"/>
      <c r="I5" s="1"/>
      <c r="J5" s="1"/>
      <c r="K5" s="1"/>
      <c r="L5" s="1"/>
      <c r="M5" s="1"/>
      <c r="N5" s="1"/>
      <c r="O5" s="1"/>
      <c r="P5" s="1"/>
      <c r="Q5" s="1"/>
      <c r="R5" s="1"/>
      <c r="S5" s="1"/>
      <c r="T5" s="1"/>
      <c r="U5" s="1"/>
      <c r="V5" s="1"/>
      <c r="X5" s="16"/>
    </row>
    <row r="6" spans="1:24" ht="13.5" customHeight="1" x14ac:dyDescent="0.25">
      <c r="A6" s="1"/>
      <c r="B6" s="1"/>
      <c r="C6" s="1"/>
      <c r="D6" s="1"/>
      <c r="E6" s="285" t="s">
        <v>19</v>
      </c>
      <c r="F6" s="1"/>
      <c r="G6" s="1"/>
      <c r="H6" s="1"/>
      <c r="I6" s="1"/>
      <c r="J6" s="1"/>
      <c r="K6" s="1"/>
      <c r="L6" s="1"/>
      <c r="M6" s="1"/>
      <c r="N6" s="1"/>
      <c r="O6" s="1"/>
      <c r="P6" s="1"/>
      <c r="Q6" s="1"/>
      <c r="R6" s="1"/>
      <c r="S6" s="1"/>
      <c r="T6" s="1"/>
      <c r="U6" s="1"/>
      <c r="V6" s="1"/>
    </row>
    <row r="7" spans="1:24" ht="8.25" customHeight="1" thickBot="1" x14ac:dyDescent="0.3">
      <c r="A7" s="1"/>
      <c r="B7" s="1"/>
      <c r="C7" s="1"/>
      <c r="D7" s="1"/>
      <c r="E7" s="18"/>
      <c r="F7" s="3"/>
      <c r="G7" s="3"/>
      <c r="H7" s="3"/>
      <c r="I7" s="3"/>
      <c r="J7" s="3"/>
      <c r="K7" s="3"/>
      <c r="L7" s="3"/>
      <c r="M7" s="3"/>
      <c r="N7" s="3"/>
      <c r="O7" s="1"/>
      <c r="P7" s="19"/>
      <c r="Q7" s="19"/>
      <c r="R7" s="1" t="s">
        <v>20</v>
      </c>
      <c r="S7" s="1"/>
      <c r="T7" s="1"/>
      <c r="U7" s="1"/>
      <c r="V7" s="1"/>
      <c r="X7" s="20"/>
    </row>
    <row r="8" spans="1:24" ht="16.5" thickBot="1" x14ac:dyDescent="0.3">
      <c r="A8" s="1"/>
      <c r="B8" s="1"/>
      <c r="C8" s="1"/>
      <c r="D8" s="1"/>
      <c r="E8" s="289" t="s">
        <v>13</v>
      </c>
      <c r="F8" s="286" t="s">
        <v>21</v>
      </c>
      <c r="G8" s="287" t="s">
        <v>22</v>
      </c>
      <c r="H8" s="287" t="s">
        <v>23</v>
      </c>
      <c r="I8" s="287" t="s">
        <v>24</v>
      </c>
      <c r="J8" s="287" t="s">
        <v>25</v>
      </c>
      <c r="K8" s="287" t="s">
        <v>26</v>
      </c>
      <c r="L8" s="287" t="s">
        <v>27</v>
      </c>
      <c r="M8" s="287" t="s">
        <v>28</v>
      </c>
      <c r="N8" s="287" t="s">
        <v>29</v>
      </c>
      <c r="O8" s="288" t="s">
        <v>30</v>
      </c>
      <c r="P8" s="1"/>
      <c r="Q8" s="1"/>
      <c r="R8" s="1" t="str">
        <f>F8</f>
        <v>AB</v>
      </c>
      <c r="S8" s="1"/>
      <c r="T8" s="1"/>
      <c r="U8" s="1"/>
      <c r="V8" s="1"/>
    </row>
    <row r="9" spans="1:24" ht="15.75" thickBot="1" x14ac:dyDescent="0.3">
      <c r="A9" s="1"/>
      <c r="B9" s="1"/>
      <c r="C9" s="1"/>
      <c r="D9" s="1"/>
      <c r="E9" s="21" t="s">
        <v>31</v>
      </c>
      <c r="F9" s="22">
        <v>100</v>
      </c>
      <c r="G9" s="23">
        <v>450</v>
      </c>
      <c r="H9" s="23">
        <v>490</v>
      </c>
      <c r="I9" s="23">
        <v>160</v>
      </c>
      <c r="J9" s="23">
        <v>160</v>
      </c>
      <c r="K9" s="23">
        <v>160</v>
      </c>
      <c r="L9" s="23">
        <v>160</v>
      </c>
      <c r="M9" s="23">
        <v>160</v>
      </c>
      <c r="N9" s="23">
        <v>160</v>
      </c>
      <c r="O9" s="24">
        <v>160</v>
      </c>
      <c r="P9" s="1"/>
      <c r="Q9" s="1"/>
      <c r="R9" s="1" t="str">
        <f>G8</f>
        <v>Abus</v>
      </c>
      <c r="S9" s="1"/>
      <c r="T9" s="1"/>
      <c r="U9" s="1"/>
      <c r="V9" s="1"/>
    </row>
    <row r="10" spans="1:24" ht="15.75" thickBot="1" x14ac:dyDescent="0.3">
      <c r="A10" s="1"/>
      <c r="B10" s="1"/>
      <c r="C10" s="1"/>
      <c r="D10" s="1"/>
      <c r="E10" s="25" t="s">
        <v>32</v>
      </c>
      <c r="F10" s="22"/>
      <c r="G10" s="23"/>
      <c r="H10" s="23"/>
      <c r="I10" s="23"/>
      <c r="J10" s="23"/>
      <c r="K10" s="23"/>
      <c r="L10" s="23">
        <v>131</v>
      </c>
      <c r="M10" s="23">
        <v>182</v>
      </c>
      <c r="N10" s="23">
        <v>182</v>
      </c>
      <c r="O10" s="24">
        <v>333</v>
      </c>
      <c r="P10" s="1"/>
      <c r="Q10" s="1"/>
      <c r="R10" s="1" t="str">
        <f>H8</f>
        <v>Abss</v>
      </c>
      <c r="S10" s="1"/>
      <c r="T10" s="1"/>
      <c r="U10" s="1"/>
      <c r="V10" s="1"/>
    </row>
    <row r="11" spans="1:24" ht="15.75" thickBot="1" x14ac:dyDescent="0.3">
      <c r="A11" s="1"/>
      <c r="B11" s="1"/>
      <c r="C11" s="1"/>
      <c r="D11" s="1"/>
      <c r="E11" s="26" t="s">
        <v>33</v>
      </c>
      <c r="F11" s="22"/>
      <c r="G11" s="23"/>
      <c r="H11" s="23"/>
      <c r="I11" s="23">
        <v>567</v>
      </c>
      <c r="J11" s="23">
        <v>567</v>
      </c>
      <c r="K11" s="23">
        <v>667</v>
      </c>
      <c r="L11" s="23">
        <v>742</v>
      </c>
      <c r="M11" s="23">
        <v>742</v>
      </c>
      <c r="N11" s="23">
        <v>1087</v>
      </c>
      <c r="O11" s="24">
        <v>1087</v>
      </c>
      <c r="P11" s="1"/>
      <c r="Q11" s="1"/>
      <c r="R11" s="1" t="str">
        <f>I8</f>
        <v>C1</v>
      </c>
      <c r="S11" s="1"/>
      <c r="T11" s="1"/>
      <c r="U11" s="1"/>
      <c r="V11" s="1"/>
    </row>
    <row r="12" spans="1:24" ht="18.75" customHeight="1" thickBot="1" x14ac:dyDescent="0.3">
      <c r="A12" s="1"/>
      <c r="B12" s="1"/>
      <c r="C12" s="1"/>
      <c r="D12" s="1"/>
      <c r="E12" s="290" t="s">
        <v>34</v>
      </c>
      <c r="F12" s="291"/>
      <c r="G12" s="291"/>
      <c r="H12" s="291"/>
      <c r="I12" s="291"/>
      <c r="J12" s="291"/>
      <c r="K12" s="291"/>
      <c r="L12" s="291"/>
      <c r="M12" s="291"/>
      <c r="N12" s="291"/>
      <c r="O12" s="292"/>
      <c r="P12" s="1"/>
      <c r="Q12" s="1"/>
      <c r="R12" s="1" t="str">
        <f>J8</f>
        <v>C2</v>
      </c>
      <c r="S12" s="1"/>
      <c r="T12" s="1"/>
      <c r="U12" s="1"/>
      <c r="V12" s="1"/>
    </row>
    <row r="13" spans="1:24" ht="15.75" thickBot="1" x14ac:dyDescent="0.3">
      <c r="A13" s="1"/>
      <c r="B13" s="1"/>
      <c r="C13" s="1"/>
      <c r="D13" s="1"/>
      <c r="E13" s="27" t="s">
        <v>35</v>
      </c>
      <c r="F13" s="28">
        <v>11</v>
      </c>
      <c r="G13" s="29">
        <v>11</v>
      </c>
      <c r="H13" s="29">
        <v>11</v>
      </c>
      <c r="I13" s="29">
        <v>11</v>
      </c>
      <c r="J13" s="29">
        <v>11</v>
      </c>
      <c r="K13" s="29">
        <v>11</v>
      </c>
      <c r="L13" s="29">
        <v>11</v>
      </c>
      <c r="M13" s="29">
        <v>11</v>
      </c>
      <c r="N13" s="29">
        <v>11</v>
      </c>
      <c r="O13" s="30">
        <v>11</v>
      </c>
      <c r="P13" s="1"/>
      <c r="Q13" s="1"/>
      <c r="R13" s="1" t="str">
        <f>K8</f>
        <v>C2P</v>
      </c>
      <c r="S13" s="1"/>
      <c r="T13" s="1"/>
      <c r="U13" s="1"/>
      <c r="V13" s="1"/>
    </row>
    <row r="14" spans="1:24" x14ac:dyDescent="0.25">
      <c r="A14" s="1"/>
      <c r="B14" s="1"/>
      <c r="C14" s="1"/>
      <c r="D14" s="1"/>
      <c r="E14" s="31" t="s">
        <v>36</v>
      </c>
      <c r="F14" s="32">
        <v>439</v>
      </c>
      <c r="G14" s="33">
        <v>439</v>
      </c>
      <c r="H14" s="33">
        <v>439</v>
      </c>
      <c r="I14" s="33">
        <v>439</v>
      </c>
      <c r="J14" s="33">
        <v>439</v>
      </c>
      <c r="K14" s="33">
        <v>439</v>
      </c>
      <c r="L14" s="33">
        <v>439</v>
      </c>
      <c r="M14" s="33">
        <v>439</v>
      </c>
      <c r="N14" s="33">
        <v>439</v>
      </c>
      <c r="O14" s="34">
        <v>439</v>
      </c>
      <c r="P14" s="1"/>
      <c r="Q14" s="1"/>
      <c r="R14" s="1" t="str">
        <f>L8</f>
        <v>C3P1-2</v>
      </c>
      <c r="S14" s="1"/>
      <c r="T14" s="1"/>
      <c r="U14" s="1"/>
      <c r="V14" s="1"/>
    </row>
    <row r="15" spans="1:24" ht="15.75" thickBot="1" x14ac:dyDescent="0.3">
      <c r="A15" s="1"/>
      <c r="B15" s="1"/>
      <c r="C15" s="1"/>
      <c r="D15" s="1"/>
      <c r="E15" s="35" t="s">
        <v>37</v>
      </c>
      <c r="F15" s="36">
        <v>292</v>
      </c>
      <c r="G15" s="37">
        <v>292</v>
      </c>
      <c r="H15" s="37">
        <v>292</v>
      </c>
      <c r="I15" s="37">
        <v>292</v>
      </c>
      <c r="J15" s="37">
        <v>292</v>
      </c>
      <c r="K15" s="37">
        <v>292</v>
      </c>
      <c r="L15" s="37">
        <v>292</v>
      </c>
      <c r="M15" s="37">
        <v>292</v>
      </c>
      <c r="N15" s="37">
        <v>292</v>
      </c>
      <c r="O15" s="38">
        <v>292</v>
      </c>
      <c r="P15" s="1"/>
      <c r="Q15" s="1"/>
      <c r="R15" s="1" t="str">
        <f>M8</f>
        <v>C3P3-P4</v>
      </c>
      <c r="S15" s="1"/>
      <c r="T15" s="1"/>
      <c r="U15" s="1"/>
      <c r="V15" s="1"/>
    </row>
    <row r="16" spans="1:24" x14ac:dyDescent="0.25">
      <c r="A16" s="1"/>
      <c r="B16" s="1"/>
      <c r="C16" s="1"/>
      <c r="D16" s="1"/>
      <c r="E16" s="39" t="s">
        <v>98</v>
      </c>
      <c r="F16" s="40">
        <v>43</v>
      </c>
      <c r="G16" s="41">
        <v>43</v>
      </c>
      <c r="H16" s="41">
        <v>43</v>
      </c>
      <c r="I16" s="41">
        <v>43</v>
      </c>
      <c r="J16" s="41">
        <v>43</v>
      </c>
      <c r="K16" s="41">
        <v>43</v>
      </c>
      <c r="L16" s="41">
        <v>43</v>
      </c>
      <c r="M16" s="41">
        <v>43</v>
      </c>
      <c r="N16" s="41">
        <v>43</v>
      </c>
      <c r="O16" s="42">
        <v>43</v>
      </c>
      <c r="P16" s="1"/>
      <c r="Q16" s="1"/>
      <c r="R16" s="1" t="str">
        <f>N8</f>
        <v>C4P4</v>
      </c>
      <c r="S16" s="1"/>
      <c r="T16" s="1"/>
      <c r="U16" s="1"/>
      <c r="V16" s="1"/>
    </row>
    <row r="17" spans="1:164" ht="15.75" thickBot="1" x14ac:dyDescent="0.3">
      <c r="A17" s="1"/>
      <c r="B17" s="1"/>
      <c r="C17" s="1"/>
      <c r="D17" s="1"/>
      <c r="E17" s="43" t="s">
        <v>99</v>
      </c>
      <c r="F17" s="44">
        <v>126</v>
      </c>
      <c r="G17" s="45">
        <v>126</v>
      </c>
      <c r="H17" s="45">
        <v>126</v>
      </c>
      <c r="I17" s="45">
        <v>126</v>
      </c>
      <c r="J17" s="45">
        <v>126</v>
      </c>
      <c r="K17" s="45">
        <v>126</v>
      </c>
      <c r="L17" s="45">
        <v>126</v>
      </c>
      <c r="M17" s="45">
        <v>126</v>
      </c>
      <c r="N17" s="45">
        <v>126</v>
      </c>
      <c r="O17" s="46">
        <v>126</v>
      </c>
      <c r="P17" s="1"/>
      <c r="Q17" s="1"/>
      <c r="R17" s="1" t="s">
        <v>30</v>
      </c>
      <c r="S17" s="1"/>
      <c r="T17" s="1"/>
      <c r="U17" s="1"/>
      <c r="V17" s="1"/>
    </row>
    <row r="18" spans="1:164" x14ac:dyDescent="0.25">
      <c r="A18" s="1"/>
      <c r="B18" s="1"/>
      <c r="C18" s="1"/>
      <c r="D18" s="1"/>
      <c r="E18" s="31" t="s">
        <v>100</v>
      </c>
      <c r="F18" s="32">
        <v>46</v>
      </c>
      <c r="G18" s="33">
        <v>46</v>
      </c>
      <c r="H18" s="33">
        <v>46</v>
      </c>
      <c r="I18" s="33">
        <v>46</v>
      </c>
      <c r="J18" s="33">
        <v>46</v>
      </c>
      <c r="K18" s="33">
        <v>46</v>
      </c>
      <c r="L18" s="33">
        <v>46</v>
      </c>
      <c r="M18" s="33">
        <v>46</v>
      </c>
      <c r="N18" s="33">
        <v>46</v>
      </c>
      <c r="O18" s="34">
        <v>46</v>
      </c>
      <c r="P18" s="1"/>
      <c r="Q18" s="1"/>
      <c r="R18" s="1"/>
      <c r="S18" s="1"/>
      <c r="T18" s="1"/>
      <c r="U18" s="1"/>
      <c r="V18" s="1"/>
    </row>
    <row r="19" spans="1:164" ht="15.75" thickBot="1" x14ac:dyDescent="0.3">
      <c r="A19" s="1"/>
      <c r="B19" s="1"/>
      <c r="C19" s="1"/>
      <c r="D19" s="1"/>
      <c r="E19" s="35" t="s">
        <v>101</v>
      </c>
      <c r="F19" s="36">
        <v>24</v>
      </c>
      <c r="G19" s="37">
        <v>24</v>
      </c>
      <c r="H19" s="37">
        <v>24</v>
      </c>
      <c r="I19" s="37">
        <v>24</v>
      </c>
      <c r="J19" s="37">
        <v>24</v>
      </c>
      <c r="K19" s="37">
        <v>24</v>
      </c>
      <c r="L19" s="37">
        <v>24</v>
      </c>
      <c r="M19" s="37">
        <v>24</v>
      </c>
      <c r="N19" s="37">
        <v>24</v>
      </c>
      <c r="O19" s="38">
        <v>24</v>
      </c>
      <c r="P19" s="1"/>
      <c r="Q19" s="1"/>
      <c r="R19" s="1"/>
      <c r="S19" s="1"/>
      <c r="T19" s="1"/>
      <c r="U19" s="1"/>
      <c r="V19" s="1"/>
    </row>
    <row r="20" spans="1:164" ht="15.75" thickBot="1" x14ac:dyDescent="0.3">
      <c r="A20" s="1"/>
      <c r="B20" s="1"/>
      <c r="C20" s="1"/>
      <c r="D20" s="1"/>
      <c r="E20" s="47" t="s">
        <v>38</v>
      </c>
      <c r="F20" s="22">
        <v>15</v>
      </c>
      <c r="G20" s="23">
        <v>15</v>
      </c>
      <c r="H20" s="23">
        <v>15</v>
      </c>
      <c r="I20" s="23">
        <v>15</v>
      </c>
      <c r="J20" s="23">
        <v>15</v>
      </c>
      <c r="K20" s="23">
        <v>15</v>
      </c>
      <c r="L20" s="23">
        <v>15</v>
      </c>
      <c r="M20" s="23">
        <v>15</v>
      </c>
      <c r="N20" s="23">
        <v>15</v>
      </c>
      <c r="O20" s="24">
        <v>15</v>
      </c>
      <c r="P20" s="1"/>
      <c r="Q20" s="1"/>
      <c r="R20" s="1"/>
      <c r="S20" s="1"/>
      <c r="T20" s="1"/>
      <c r="U20" s="1"/>
      <c r="V20" s="1"/>
    </row>
    <row r="21" spans="1:164" s="1" customFormat="1" ht="7.5" customHeight="1" thickBot="1" x14ac:dyDescent="0.3">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row>
    <row r="22" spans="1:164" s="1" customFormat="1" ht="15.75" thickBot="1" x14ac:dyDescent="0.3">
      <c r="E22" s="48" t="s">
        <v>158</v>
      </c>
      <c r="F22" s="49"/>
      <c r="G22" s="50"/>
      <c r="H22" s="50"/>
      <c r="I22" s="51">
        <v>700</v>
      </c>
      <c r="J22" s="51">
        <v>700</v>
      </c>
      <c r="K22" s="51">
        <v>500</v>
      </c>
      <c r="L22" s="51">
        <v>350</v>
      </c>
      <c r="M22" s="51">
        <v>350</v>
      </c>
      <c r="N22" s="51">
        <v>225</v>
      </c>
      <c r="O22" s="52">
        <v>225</v>
      </c>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row>
    <row r="23" spans="1:164" s="1" customFormat="1" x14ac:dyDescent="0.25">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row>
    <row r="24" spans="1:164" s="1" customFormat="1" x14ac:dyDescent="0.25">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row>
    <row r="25" spans="1:164" s="1" customFormat="1" x14ac:dyDescent="0.25">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row>
    <row r="26" spans="1:164" s="2" customFormat="1" x14ac:dyDescent="0.25">
      <c r="A26" s="1"/>
      <c r="B26" s="1"/>
      <c r="C26" s="1"/>
      <c r="D26" s="1"/>
      <c r="E26" s="1"/>
      <c r="F26" s="1"/>
      <c r="G26" s="1"/>
      <c r="H26" s="1"/>
      <c r="I26" s="1"/>
      <c r="J26" s="1"/>
      <c r="K26" s="1"/>
      <c r="L26" s="1"/>
      <c r="M26" s="1"/>
      <c r="N26" s="1"/>
      <c r="O26" s="1"/>
      <c r="P26" s="1"/>
      <c r="Q26" s="1"/>
      <c r="R26" s="1"/>
      <c r="S26" s="1"/>
      <c r="T26" s="1"/>
      <c r="U26" s="1"/>
      <c r="V26" s="1"/>
    </row>
    <row r="27" spans="1:164" s="2" customFormat="1" x14ac:dyDescent="0.25">
      <c r="A27" s="1"/>
      <c r="B27" s="1"/>
      <c r="C27" s="1"/>
      <c r="D27" s="1"/>
      <c r="E27" s="1"/>
      <c r="F27" s="1"/>
      <c r="G27" s="1"/>
      <c r="H27" s="1"/>
      <c r="I27" s="1"/>
      <c r="J27" s="1"/>
      <c r="K27" s="1"/>
      <c r="L27" s="1"/>
      <c r="M27" s="1"/>
      <c r="N27" s="1"/>
      <c r="O27" s="1"/>
      <c r="P27" s="1"/>
      <c r="Q27" s="1"/>
      <c r="R27" s="1"/>
      <c r="S27" s="1"/>
      <c r="T27" s="1"/>
      <c r="U27" s="1"/>
      <c r="V27" s="1"/>
    </row>
    <row r="28" spans="1:164" s="2" customFormat="1" x14ac:dyDescent="0.25">
      <c r="A28" s="1"/>
      <c r="B28" s="1"/>
      <c r="C28" s="1"/>
      <c r="D28" s="1"/>
      <c r="E28" s="1"/>
      <c r="F28" s="1"/>
      <c r="G28" s="1"/>
      <c r="H28" s="1"/>
      <c r="I28" s="1"/>
      <c r="J28" s="1"/>
      <c r="K28" s="1"/>
      <c r="L28" s="1"/>
      <c r="M28" s="1"/>
      <c r="N28" s="1"/>
      <c r="O28" s="1"/>
      <c r="P28" s="1"/>
      <c r="Q28" s="1"/>
      <c r="R28" s="1"/>
      <c r="S28" s="1"/>
      <c r="T28" s="1"/>
      <c r="U28" s="1"/>
      <c r="V28" s="1"/>
    </row>
    <row r="29" spans="1:164" s="2" customFormat="1" x14ac:dyDescent="0.25">
      <c r="A29" s="1"/>
      <c r="B29" s="1"/>
      <c r="C29" s="1"/>
      <c r="D29" s="1"/>
      <c r="E29" s="1"/>
      <c r="F29" s="1"/>
      <c r="G29" s="1"/>
      <c r="H29" s="1"/>
      <c r="I29" s="1"/>
      <c r="J29" s="1"/>
      <c r="K29" s="1"/>
      <c r="L29" s="1"/>
      <c r="M29" s="1"/>
      <c r="N29" s="1"/>
      <c r="O29" s="1"/>
      <c r="P29" s="1"/>
      <c r="Q29" s="1"/>
      <c r="R29" s="1"/>
      <c r="S29" s="1"/>
      <c r="T29" s="1"/>
      <c r="U29" s="1"/>
      <c r="V29" s="1"/>
    </row>
    <row r="30" spans="1:164" s="2" customFormat="1" x14ac:dyDescent="0.25">
      <c r="A30" s="1"/>
      <c r="B30" s="1"/>
      <c r="C30" s="1"/>
      <c r="D30" s="1"/>
      <c r="E30" s="1"/>
      <c r="F30" s="1"/>
      <c r="G30" s="1"/>
      <c r="H30" s="1"/>
      <c r="I30" s="1"/>
      <c r="J30" s="1"/>
      <c r="K30" s="1"/>
      <c r="L30" s="1"/>
      <c r="M30" s="1"/>
      <c r="N30" s="1"/>
      <c r="O30" s="1"/>
      <c r="P30" s="1"/>
      <c r="Q30" s="1"/>
      <c r="R30" s="1"/>
      <c r="S30" s="1"/>
      <c r="T30" s="1"/>
      <c r="U30" s="1"/>
      <c r="V30" s="1"/>
    </row>
    <row r="31" spans="1:164" s="2" customFormat="1" ht="118.15" customHeight="1" x14ac:dyDescent="0.25">
      <c r="A31" s="1"/>
      <c r="B31" s="1"/>
      <c r="C31" s="1"/>
      <c r="D31" s="1"/>
      <c r="E31" s="1"/>
      <c r="F31" s="1"/>
      <c r="G31" s="1"/>
      <c r="H31" s="1"/>
      <c r="I31" s="1"/>
      <c r="J31" s="1"/>
      <c r="K31" s="1"/>
      <c r="L31" s="1"/>
      <c r="M31" s="1"/>
      <c r="N31" s="1"/>
      <c r="O31" s="1"/>
      <c r="P31" s="1"/>
      <c r="Q31" s="1"/>
      <c r="R31" s="1"/>
      <c r="S31" s="1"/>
      <c r="T31" s="1"/>
      <c r="U31" s="1"/>
      <c r="V31" s="1"/>
    </row>
    <row r="32" spans="1:164" s="2" customFormat="1" ht="118.15" customHeight="1" x14ac:dyDescent="0.25">
      <c r="A32" s="1"/>
      <c r="B32" s="1"/>
      <c r="C32" s="1"/>
      <c r="D32" s="1"/>
      <c r="E32" s="1"/>
      <c r="F32" s="1"/>
      <c r="G32" s="1"/>
      <c r="H32" s="1"/>
      <c r="I32" s="1"/>
      <c r="J32" s="1"/>
      <c r="K32" s="1"/>
      <c r="L32" s="1"/>
      <c r="M32" s="1"/>
      <c r="N32" s="1"/>
      <c r="O32" s="1"/>
      <c r="P32" s="1"/>
      <c r="Q32" s="1"/>
      <c r="R32" s="1"/>
      <c r="S32" s="1"/>
      <c r="T32" s="1"/>
      <c r="U32" s="1"/>
      <c r="V32" s="1"/>
    </row>
    <row r="33" spans="1:22" s="2" customFormat="1" ht="279" customHeight="1" x14ac:dyDescent="0.25">
      <c r="A33" s="1"/>
      <c r="B33" s="1"/>
      <c r="C33" s="1"/>
      <c r="D33" s="1"/>
      <c r="E33" s="1"/>
      <c r="F33" s="1"/>
      <c r="G33" s="1"/>
      <c r="H33" s="1"/>
      <c r="I33" s="1"/>
      <c r="J33" s="1"/>
      <c r="K33" s="1"/>
      <c r="L33" s="1"/>
      <c r="M33" s="1"/>
      <c r="N33" s="1"/>
      <c r="O33" s="1"/>
      <c r="P33" s="1"/>
      <c r="Q33" s="1"/>
      <c r="R33" s="1"/>
      <c r="S33" s="1"/>
      <c r="T33" s="1"/>
      <c r="U33" s="1"/>
      <c r="V33" s="1"/>
    </row>
    <row r="34" spans="1:22" s="2" customFormat="1" x14ac:dyDescent="0.25"/>
    <row r="35" spans="1:22" s="2" customFormat="1" x14ac:dyDescent="0.25"/>
    <row r="36" spans="1:22" s="2" customFormat="1" x14ac:dyDescent="0.25"/>
    <row r="37" spans="1:22" s="2" customFormat="1" x14ac:dyDescent="0.25"/>
    <row r="38" spans="1:22" s="2" customFormat="1" x14ac:dyDescent="0.25"/>
    <row r="39" spans="1:22" s="2" customFormat="1" x14ac:dyDescent="0.25"/>
    <row r="40" spans="1:22" s="2" customFormat="1" x14ac:dyDescent="0.25"/>
    <row r="41" spans="1:22" s="2" customFormat="1" x14ac:dyDescent="0.25"/>
    <row r="42" spans="1:22" s="2" customFormat="1" x14ac:dyDescent="0.25"/>
    <row r="43" spans="1:22" s="2" customFormat="1" x14ac:dyDescent="0.25"/>
    <row r="44" spans="1:22" s="2" customFormat="1" x14ac:dyDescent="0.25"/>
    <row r="45" spans="1:22" s="2" customFormat="1" x14ac:dyDescent="0.25"/>
    <row r="46" spans="1:22" s="2" customFormat="1" x14ac:dyDescent="0.25"/>
    <row r="47" spans="1:22" s="2" customFormat="1" x14ac:dyDescent="0.25"/>
    <row r="48" spans="1:22"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row r="589" s="2" customFormat="1" x14ac:dyDescent="0.25"/>
    <row r="590" s="2" customFormat="1" x14ac:dyDescent="0.25"/>
    <row r="591" s="2" customFormat="1" x14ac:dyDescent="0.25"/>
    <row r="592" s="2" customFormat="1" x14ac:dyDescent="0.25"/>
    <row r="593" s="2" customFormat="1" x14ac:dyDescent="0.25"/>
    <row r="594" s="2" customFormat="1" x14ac:dyDescent="0.25"/>
    <row r="595" s="2" customFormat="1" x14ac:dyDescent="0.25"/>
    <row r="596" s="2" customFormat="1" x14ac:dyDescent="0.25"/>
    <row r="597" s="2" customFormat="1" x14ac:dyDescent="0.25"/>
    <row r="598" s="2" customFormat="1" x14ac:dyDescent="0.25"/>
    <row r="599" s="2" customFormat="1" x14ac:dyDescent="0.25"/>
    <row r="600" s="2" customFormat="1" x14ac:dyDescent="0.25"/>
    <row r="601" s="2" customFormat="1" x14ac:dyDescent="0.25"/>
    <row r="602" s="2" customFormat="1" x14ac:dyDescent="0.25"/>
    <row r="603" s="2" customFormat="1" x14ac:dyDescent="0.25"/>
    <row r="604" s="2" customFormat="1" x14ac:dyDescent="0.25"/>
    <row r="605" s="2" customFormat="1" x14ac:dyDescent="0.25"/>
    <row r="606" s="2" customFormat="1" x14ac:dyDescent="0.25"/>
    <row r="607" s="2" customFormat="1" x14ac:dyDescent="0.25"/>
    <row r="608"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row r="618" s="2" customFormat="1" x14ac:dyDescent="0.25"/>
    <row r="619" s="2" customFormat="1" x14ac:dyDescent="0.25"/>
    <row r="620" s="2" customFormat="1" x14ac:dyDescent="0.25"/>
    <row r="621" s="2" customFormat="1" x14ac:dyDescent="0.25"/>
    <row r="622" s="2" customFormat="1" x14ac:dyDescent="0.25"/>
    <row r="623" s="2" customFormat="1" x14ac:dyDescent="0.25"/>
    <row r="624" s="2" customFormat="1" x14ac:dyDescent="0.25"/>
    <row r="625" s="2" customFormat="1" x14ac:dyDescent="0.25"/>
    <row r="626" s="2" customFormat="1" x14ac:dyDescent="0.25"/>
    <row r="627" s="2" customFormat="1" x14ac:dyDescent="0.25"/>
    <row r="628" s="2" customFormat="1" x14ac:dyDescent="0.25"/>
    <row r="629" s="2" customFormat="1" x14ac:dyDescent="0.25"/>
    <row r="630" s="2" customFormat="1" x14ac:dyDescent="0.25"/>
    <row r="631" s="2" customFormat="1" x14ac:dyDescent="0.25"/>
    <row r="632" s="2" customFormat="1" x14ac:dyDescent="0.25"/>
    <row r="633" s="2" customFormat="1" x14ac:dyDescent="0.25"/>
    <row r="634" s="2" customFormat="1" x14ac:dyDescent="0.25"/>
    <row r="635" s="2" customFormat="1" x14ac:dyDescent="0.25"/>
    <row r="636" s="2" customFormat="1" x14ac:dyDescent="0.25"/>
    <row r="637" s="2" customFormat="1" x14ac:dyDescent="0.25"/>
    <row r="638" s="2" customFormat="1" x14ac:dyDescent="0.25"/>
    <row r="639" s="2" customFormat="1" x14ac:dyDescent="0.25"/>
    <row r="640" s="2" customFormat="1" x14ac:dyDescent="0.25"/>
    <row r="641" s="2" customFormat="1" x14ac:dyDescent="0.25"/>
    <row r="642" s="2" customFormat="1" x14ac:dyDescent="0.25"/>
    <row r="643" s="2" customFormat="1" x14ac:dyDescent="0.25"/>
    <row r="644" s="2" customFormat="1" x14ac:dyDescent="0.25"/>
    <row r="645" s="2" customFormat="1" x14ac:dyDescent="0.25"/>
    <row r="646" s="2" customFormat="1" x14ac:dyDescent="0.25"/>
    <row r="647" s="2" customFormat="1" x14ac:dyDescent="0.25"/>
    <row r="648" s="2" customFormat="1" x14ac:dyDescent="0.25"/>
    <row r="649" s="2" customFormat="1" x14ac:dyDescent="0.25"/>
    <row r="650" s="2" customFormat="1" x14ac:dyDescent="0.25"/>
    <row r="651" s="2" customFormat="1" x14ac:dyDescent="0.25"/>
    <row r="652" s="2" customFormat="1" x14ac:dyDescent="0.25"/>
    <row r="653" s="2" customFormat="1" x14ac:dyDescent="0.25"/>
    <row r="654" s="2" customFormat="1" x14ac:dyDescent="0.25"/>
    <row r="655" s="2" customFormat="1" x14ac:dyDescent="0.25"/>
    <row r="656" s="2" customFormat="1" x14ac:dyDescent="0.25"/>
    <row r="657" s="2" customFormat="1" x14ac:dyDescent="0.25"/>
    <row r="658" s="2" customFormat="1" x14ac:dyDescent="0.25"/>
    <row r="659" s="2" customFormat="1" x14ac:dyDescent="0.25"/>
    <row r="660" s="2" customFormat="1" x14ac:dyDescent="0.25"/>
    <row r="661" s="2" customFormat="1" x14ac:dyDescent="0.25"/>
    <row r="662" s="2" customFormat="1" x14ac:dyDescent="0.25"/>
    <row r="663" s="2" customFormat="1" x14ac:dyDescent="0.25"/>
    <row r="664" s="2" customFormat="1" x14ac:dyDescent="0.25"/>
    <row r="665" s="2" customFormat="1" x14ac:dyDescent="0.25"/>
    <row r="666" s="2" customFormat="1" x14ac:dyDescent="0.25"/>
    <row r="667" s="2" customFormat="1" x14ac:dyDescent="0.25"/>
    <row r="668" s="2" customFormat="1" x14ac:dyDescent="0.25"/>
    <row r="669" s="2" customFormat="1" x14ac:dyDescent="0.25"/>
    <row r="670" s="2" customFormat="1" x14ac:dyDescent="0.25"/>
    <row r="671" s="2" customFormat="1" x14ac:dyDescent="0.25"/>
    <row r="672" s="2" customFormat="1" x14ac:dyDescent="0.25"/>
    <row r="673" s="2" customFormat="1" x14ac:dyDescent="0.25"/>
    <row r="674" s="2" customFormat="1" x14ac:dyDescent="0.25"/>
    <row r="675" s="2" customFormat="1" x14ac:dyDescent="0.25"/>
    <row r="676" s="2" customFormat="1" x14ac:dyDescent="0.25"/>
    <row r="677" s="2" customFormat="1" x14ac:dyDescent="0.25"/>
    <row r="678" s="2" customFormat="1" x14ac:dyDescent="0.25"/>
    <row r="679" s="2" customFormat="1" x14ac:dyDescent="0.25"/>
    <row r="680" s="2" customFormat="1" x14ac:dyDescent="0.25"/>
    <row r="681" s="2" customFormat="1" x14ac:dyDescent="0.25"/>
    <row r="682" s="2" customFormat="1" x14ac:dyDescent="0.25"/>
    <row r="683" s="2" customFormat="1" x14ac:dyDescent="0.25"/>
    <row r="684" s="2" customFormat="1" x14ac:dyDescent="0.25"/>
    <row r="685" s="2" customFormat="1" x14ac:dyDescent="0.25"/>
    <row r="686" s="2" customFormat="1" x14ac:dyDescent="0.25"/>
    <row r="687" s="2" customFormat="1" x14ac:dyDescent="0.25"/>
    <row r="688" s="2" customFormat="1" x14ac:dyDescent="0.25"/>
    <row r="689" s="2" customFormat="1" x14ac:dyDescent="0.25"/>
    <row r="690" s="2" customFormat="1" x14ac:dyDescent="0.25"/>
    <row r="691" s="2" customFormat="1" x14ac:dyDescent="0.25"/>
    <row r="692" s="2" customFormat="1" x14ac:dyDescent="0.25"/>
    <row r="693" s="2" customFormat="1" x14ac:dyDescent="0.25"/>
    <row r="694" s="2" customFormat="1" x14ac:dyDescent="0.25"/>
    <row r="695" s="2" customFormat="1" x14ac:dyDescent="0.25"/>
    <row r="696" s="2" customFormat="1" x14ac:dyDescent="0.25"/>
    <row r="697" s="2" customFormat="1" x14ac:dyDescent="0.25"/>
    <row r="698" s="2" customFormat="1" x14ac:dyDescent="0.25"/>
    <row r="699" s="2" customFormat="1" x14ac:dyDescent="0.25"/>
    <row r="700" s="2" customFormat="1" x14ac:dyDescent="0.25"/>
    <row r="701" s="2" customFormat="1" x14ac:dyDescent="0.25"/>
    <row r="702" s="2" customFormat="1" x14ac:dyDescent="0.25"/>
    <row r="703" s="2" customFormat="1" x14ac:dyDescent="0.25"/>
    <row r="704" s="2" customFormat="1" x14ac:dyDescent="0.25"/>
    <row r="705" s="2" customFormat="1" x14ac:dyDescent="0.25"/>
    <row r="706" s="2" customFormat="1" x14ac:dyDescent="0.25"/>
    <row r="707" s="2" customFormat="1" x14ac:dyDescent="0.25"/>
    <row r="708" s="2" customFormat="1" x14ac:dyDescent="0.25"/>
    <row r="709" s="2" customFormat="1" x14ac:dyDescent="0.25"/>
    <row r="710" s="2" customFormat="1" x14ac:dyDescent="0.25"/>
    <row r="711" s="2" customFormat="1" x14ac:dyDescent="0.25"/>
    <row r="712" s="2" customFormat="1" x14ac:dyDescent="0.25"/>
    <row r="713" s="2" customFormat="1" x14ac:dyDescent="0.25"/>
    <row r="714" s="2" customFormat="1" x14ac:dyDescent="0.25"/>
    <row r="715" s="2" customFormat="1" x14ac:dyDescent="0.25"/>
    <row r="716" s="2" customFormat="1" x14ac:dyDescent="0.25"/>
    <row r="717" s="2" customFormat="1" x14ac:dyDescent="0.25"/>
    <row r="718" s="2" customFormat="1" x14ac:dyDescent="0.25"/>
    <row r="719" s="2" customFormat="1" x14ac:dyDescent="0.25"/>
    <row r="720" s="2" customFormat="1" x14ac:dyDescent="0.25"/>
    <row r="721" s="2" customFormat="1" x14ac:dyDescent="0.25"/>
    <row r="722" s="2" customFormat="1" x14ac:dyDescent="0.25"/>
    <row r="723" s="2" customFormat="1" x14ac:dyDescent="0.25"/>
    <row r="724" s="2" customFormat="1" x14ac:dyDescent="0.25"/>
    <row r="725" s="2" customFormat="1" x14ac:dyDescent="0.25"/>
    <row r="726" s="2" customFormat="1" x14ac:dyDescent="0.25"/>
    <row r="727" s="2" customFormat="1" x14ac:dyDescent="0.25"/>
    <row r="728" s="2" customFormat="1" x14ac:dyDescent="0.25"/>
    <row r="729" s="2" customFormat="1" x14ac:dyDescent="0.25"/>
    <row r="730" s="2" customFormat="1" x14ac:dyDescent="0.25"/>
    <row r="731" s="2" customFormat="1" x14ac:dyDescent="0.25"/>
  </sheetData>
  <sheetProtection algorithmName="SHA-512" hashValue="zniwj4O/oHHI88wJlELyf0qo25JD2PyR17ttWzvKvHsjNZHlqKdRc5tR3mmPQrXx6hBITsqlwHQGE7uRfqLLow==" saltValue="9VGljKHTYRb9mB09TKaL5Q==" spinCount="100000" sheet="1" objects="1" scenarios="1" selectLockedCells="1"/>
  <conditionalFormatting sqref="L3:M3 N4">
    <cfRule type="cellIs" dxfId="32" priority="8" operator="equal">
      <formula>" &lt;=Virheellinen päivämärä!"</formula>
    </cfRule>
  </conditionalFormatting>
  <conditionalFormatting sqref="M4">
    <cfRule type="cellIs" dxfId="31" priority="7" operator="lessThanOrEqual">
      <formula>$M$3</formula>
    </cfRule>
  </conditionalFormatting>
  <conditionalFormatting sqref="M3">
    <cfRule type="expression" dxfId="30" priority="6">
      <formula>NOT($M$3+1)</formula>
    </cfRule>
  </conditionalFormatting>
  <conditionalFormatting sqref="O4">
    <cfRule type="cellIs" dxfId="29" priority="5" operator="lessThanOrEqual">
      <formula>$M$3</formula>
    </cfRule>
  </conditionalFormatting>
  <conditionalFormatting sqref="O3">
    <cfRule type="cellIs" dxfId="28" priority="4" operator="lessThanOrEqual">
      <formula>$M$3</formula>
    </cfRule>
  </conditionalFormatting>
  <conditionalFormatting sqref="P7">
    <cfRule type="cellIs" dxfId="27" priority="3" operator="lessThanOrEqual">
      <formula>$M$3</formula>
    </cfRule>
  </conditionalFormatting>
  <conditionalFormatting sqref="P6">
    <cfRule type="cellIs" dxfId="26" priority="2" operator="lessThanOrEqual">
      <formula>$M$3</formula>
    </cfRule>
  </conditionalFormatting>
  <conditionalFormatting sqref="P5">
    <cfRule type="cellIs" dxfId="25" priority="1" operator="lessThanOrEqual">
      <formula>$M$3</formula>
    </cfRule>
  </conditionalFormatting>
  <pageMargins left="0.7" right="0.7" top="0.75" bottom="0.75" header="0.3" footer="0.3"/>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91"/>
  <sheetViews>
    <sheetView showRowColHeaders="0" zoomScaleNormal="100" workbookViewId="0"/>
  </sheetViews>
  <sheetFormatPr defaultColWidth="8.85546875" defaultRowHeight="15" x14ac:dyDescent="0.25"/>
  <cols>
    <col min="1" max="1" width="2.42578125" style="53" customWidth="1"/>
    <col min="2" max="2" width="6.7109375" style="53" customWidth="1"/>
    <col min="3" max="3" width="9.140625" style="53" customWidth="1"/>
    <col min="4" max="4" width="1.85546875" style="53" customWidth="1"/>
    <col min="5" max="5" width="9.7109375" style="53" customWidth="1"/>
    <col min="6" max="6" width="55.42578125" style="53" customWidth="1"/>
    <col min="7" max="7" width="11.28515625" style="53" customWidth="1"/>
    <col min="8" max="8" width="11.140625" style="53" customWidth="1"/>
    <col min="9" max="14" width="12.42578125" style="53" customWidth="1"/>
    <col min="15" max="15" width="12.140625" style="53" customWidth="1"/>
    <col min="16" max="16" width="21.42578125" style="53" customWidth="1"/>
    <col min="17" max="17" width="8.85546875" style="53"/>
    <col min="18" max="18" width="50.140625" style="53" bestFit="1" customWidth="1"/>
    <col min="19" max="19" width="8" style="53" customWidth="1"/>
    <col min="20" max="20" width="9.140625" style="53" hidden="1" customWidth="1"/>
    <col min="21" max="24" width="8.85546875" style="53"/>
    <col min="25" max="25" width="17.42578125" style="53" customWidth="1"/>
    <col min="26" max="26" width="44.28515625" style="53" bestFit="1" customWidth="1"/>
    <col min="27" max="16384" width="8.85546875" style="53"/>
  </cols>
  <sheetData>
    <row r="1" spans="1:26" ht="7.5" customHeight="1" x14ac:dyDescent="0.25"/>
    <row r="2" spans="1:26" ht="22.5" x14ac:dyDescent="0.3">
      <c r="D2" s="122" t="str">
        <f>'Valitut tuet'!B1&amp;": Tukilaskelmaraportti"</f>
        <v>eMulli2 Tukilaskuri: Tukilaskelmaraportti</v>
      </c>
      <c r="F2" s="54"/>
      <c r="G2" s="54"/>
      <c r="T2" s="55"/>
    </row>
    <row r="3" spans="1:26" ht="12.6" customHeight="1" thickBot="1" x14ac:dyDescent="0.3">
      <c r="A3" s="119"/>
      <c r="B3" s="119"/>
      <c r="C3" s="119"/>
      <c r="D3" s="119"/>
      <c r="E3" s="120" t="str">
        <f>'Valitut tuet'!E2</f>
        <v xml:space="preserve"> Versio 1.0   13.3.2019</v>
      </c>
      <c r="F3" s="121"/>
      <c r="G3" s="121"/>
      <c r="H3" s="119"/>
      <c r="I3" s="119"/>
      <c r="T3" s="55"/>
    </row>
    <row r="4" spans="1:26" ht="33.75" customHeight="1" thickTop="1" x14ac:dyDescent="0.3">
      <c r="E4" s="542" t="s">
        <v>108</v>
      </c>
      <c r="F4" s="542" t="str">
        <f>'Valitut tuet'!F5</f>
        <v>Mallitila</v>
      </c>
      <c r="G4" s="56"/>
      <c r="H4" s="57"/>
      <c r="I4" s="57"/>
      <c r="J4" s="57"/>
      <c r="K4" s="57"/>
      <c r="L4" s="57"/>
      <c r="M4" s="57"/>
      <c r="N4" s="57"/>
      <c r="O4" s="57"/>
      <c r="P4" s="58"/>
      <c r="Z4" s="59"/>
    </row>
    <row r="5" spans="1:26" ht="18.75" x14ac:dyDescent="0.3">
      <c r="E5" s="542" t="str">
        <f>'Valitut tuet'!E6</f>
        <v>Laskelma:</v>
      </c>
      <c r="F5" s="542" t="str">
        <f>'Valitut tuet'!F6</f>
        <v>Laskelman nimitys</v>
      </c>
      <c r="G5" s="56"/>
      <c r="H5" s="57"/>
      <c r="I5" s="57"/>
      <c r="J5" s="57"/>
      <c r="K5" s="57"/>
      <c r="L5" s="57"/>
      <c r="M5" s="57"/>
      <c r="N5" s="57"/>
      <c r="O5" s="57"/>
      <c r="P5" s="58"/>
      <c r="Z5" s="60"/>
    </row>
    <row r="6" spans="1:26" ht="27.6" customHeight="1" x14ac:dyDescent="0.3">
      <c r="E6" s="528" t="str">
        <f>'Valitut tuet'!E7</f>
        <v xml:space="preserve">Eläintuet </v>
      </c>
      <c r="F6" s="529" t="s">
        <v>39</v>
      </c>
      <c r="G6" s="529"/>
      <c r="H6" s="530"/>
      <c r="I6" s="530">
        <f>'Valitut tuet'!F7</f>
        <v>0</v>
      </c>
      <c r="J6" s="57"/>
      <c r="K6" s="57"/>
      <c r="L6" s="57"/>
      <c r="M6" s="57"/>
      <c r="N6" s="57"/>
      <c r="O6" s="57"/>
    </row>
    <row r="7" spans="1:26" ht="18.75" hidden="1" x14ac:dyDescent="0.3">
      <c r="E7" s="531"/>
      <c r="F7" s="529" t="str">
        <f>"   " &amp; 'Valitut tuet'!F8</f>
        <v xml:space="preserve">   Tuki yhtä eläintä kohden 0 pv:n tarkastelujaksolla</v>
      </c>
      <c r="G7" s="529"/>
      <c r="H7" s="530"/>
      <c r="I7" s="528">
        <f ca="1">'Valitut tuet'!E8</f>
        <v>0</v>
      </c>
      <c r="J7" s="57"/>
      <c r="K7" s="57"/>
      <c r="L7" s="57"/>
      <c r="M7" s="57"/>
      <c r="N7" s="57"/>
      <c r="O7" s="57"/>
      <c r="Z7" s="61"/>
    </row>
    <row r="8" spans="1:26" ht="19.5" thickBot="1" x14ac:dyDescent="0.35">
      <c r="E8" s="531"/>
      <c r="F8" s="532" t="s">
        <v>58</v>
      </c>
      <c r="G8" s="550"/>
      <c r="H8" s="550"/>
      <c r="I8" s="532">
        <f ca="1">'Valitut tuet'!E8</f>
        <v>0</v>
      </c>
      <c r="J8" s="57"/>
      <c r="K8" s="57"/>
      <c r="L8" s="57"/>
      <c r="M8" s="57"/>
      <c r="N8" s="57"/>
      <c r="O8" s="57"/>
      <c r="Z8" s="61"/>
    </row>
    <row r="9" spans="1:26" ht="19.5" thickTop="1" x14ac:dyDescent="0.3">
      <c r="E9" s="531"/>
      <c r="F9" s="529" t="s">
        <v>117</v>
      </c>
      <c r="G9" s="533">
        <f>'Valitut tuet'!K14/365*'Valitut tuet'!I4</f>
        <v>0</v>
      </c>
      <c r="H9" s="530">
        <f ca="1">'Valitut tuet'!M14</f>
        <v>0</v>
      </c>
      <c r="I9" s="528">
        <f ca="1">'Valitut tuet'!O14</f>
        <v>0</v>
      </c>
      <c r="J9" s="57"/>
      <c r="K9" s="57"/>
      <c r="L9" s="57"/>
      <c r="M9" s="57"/>
      <c r="N9" s="57"/>
      <c r="O9" s="57"/>
      <c r="Z9" s="61"/>
    </row>
    <row r="10" spans="1:26" ht="18.75" x14ac:dyDescent="0.3">
      <c r="E10" s="531"/>
      <c r="F10" s="529" t="s">
        <v>40</v>
      </c>
      <c r="G10" s="533">
        <f ca="1">IF(H10=0,0,I10/H10)</f>
        <v>0</v>
      </c>
      <c r="H10" s="530">
        <f ca="1">'Valitut tuet'!M15</f>
        <v>0</v>
      </c>
      <c r="I10" s="528">
        <f ca="1">'Valitut tuet'!O15</f>
        <v>0</v>
      </c>
      <c r="J10" s="57"/>
      <c r="K10" s="57"/>
      <c r="L10" s="57"/>
      <c r="M10" s="57"/>
      <c r="N10" s="57"/>
      <c r="O10" s="57"/>
      <c r="Z10" s="61"/>
    </row>
    <row r="11" spans="1:26" ht="18.75" x14ac:dyDescent="0.3">
      <c r="E11" s="531"/>
      <c r="F11" s="529" t="s">
        <v>115</v>
      </c>
      <c r="G11" s="534">
        <f ca="1">'Valitut tuet'!D16</f>
        <v>0</v>
      </c>
      <c r="H11" s="535">
        <f ca="1">IF(G11=0,0,I11/G11)</f>
        <v>0</v>
      </c>
      <c r="I11" s="528">
        <f ca="1">'Valitut tuet'!O16</f>
        <v>0</v>
      </c>
      <c r="J11" s="57"/>
      <c r="K11" s="57"/>
      <c r="L11" s="57"/>
      <c r="M11" s="57"/>
      <c r="N11" s="57"/>
      <c r="O11" s="57"/>
      <c r="Z11" s="61"/>
    </row>
    <row r="12" spans="1:26" ht="19.5" thickBot="1" x14ac:dyDescent="0.35">
      <c r="E12" s="531"/>
      <c r="F12" s="536" t="s">
        <v>116</v>
      </c>
      <c r="G12" s="537">
        <f ca="1">IF(H12=0,0,I12/H12)</f>
        <v>0</v>
      </c>
      <c r="H12" s="538">
        <f ca="1">'Valitut tuet'!M26</f>
        <v>0</v>
      </c>
      <c r="I12" s="539">
        <f ca="1">'Valitut tuet'!O26</f>
        <v>0</v>
      </c>
      <c r="J12" s="62"/>
      <c r="K12" s="62"/>
      <c r="L12" s="57"/>
      <c r="M12" s="57"/>
      <c r="N12" s="57"/>
      <c r="O12" s="57"/>
      <c r="Z12" s="61"/>
    </row>
    <row r="13" spans="1:26" ht="19.5" thickBot="1" x14ac:dyDescent="0.35">
      <c r="E13" s="531"/>
      <c r="F13" s="103" t="str">
        <f>"Yhteensä sis eläinkuolleisuus  " &amp;100* 'Valitut tuet'!F10 &amp; " %/v"</f>
        <v>Yhteensä sis eläinkuolleisuus  0 %/v</v>
      </c>
      <c r="G13" s="540"/>
      <c r="H13" s="103"/>
      <c r="I13" s="541">
        <f ca="1">SUM(I9:I12)</f>
        <v>0</v>
      </c>
      <c r="J13" s="62"/>
      <c r="K13" s="63"/>
      <c r="L13" s="57"/>
      <c r="M13" s="57"/>
      <c r="N13" s="57"/>
      <c r="O13" s="57"/>
      <c r="S13" s="53" t="s">
        <v>41</v>
      </c>
    </row>
    <row r="14" spans="1:26" ht="18" customHeight="1" thickTop="1" x14ac:dyDescent="0.3">
      <c r="D14" s="57"/>
      <c r="E14" s="57"/>
      <c r="F14" s="57"/>
      <c r="G14" s="57"/>
      <c r="H14" s="57"/>
      <c r="I14" s="57"/>
      <c r="J14" s="57"/>
      <c r="K14" s="57"/>
      <c r="L14" s="57"/>
      <c r="M14" s="57"/>
      <c r="N14" s="57"/>
      <c r="O14" s="57"/>
      <c r="Z14" s="60"/>
    </row>
    <row r="15" spans="1:26" ht="8.25" customHeight="1" x14ac:dyDescent="0.3">
      <c r="K15" s="57"/>
    </row>
    <row r="16" spans="1:26" ht="18" customHeight="1" thickBot="1" x14ac:dyDescent="0.35">
      <c r="C16" s="64" t="s">
        <v>42</v>
      </c>
      <c r="E16" s="65" t="s">
        <v>114</v>
      </c>
      <c r="K16" s="57"/>
      <c r="O16" s="66"/>
    </row>
    <row r="17" spans="1:16" ht="18" customHeight="1" x14ac:dyDescent="0.3">
      <c r="A17" s="67"/>
      <c r="B17" s="67"/>
      <c r="C17" s="68"/>
      <c r="D17" s="69"/>
      <c r="E17" s="70" t="str">
        <f>'Valitut tuet'!F14</f>
        <v>Eu-nautapalkkio (6kk-alle 20kk) (€/eläin/tukivuosi)</v>
      </c>
      <c r="F17" s="71"/>
      <c r="G17" s="71"/>
      <c r="H17" s="71"/>
      <c r="I17" s="133">
        <f ca="1">'Valitut tuet'!M14</f>
        <v>0</v>
      </c>
      <c r="J17" s="67"/>
      <c r="K17" s="57"/>
      <c r="L17" s="67"/>
      <c r="M17" s="67"/>
      <c r="N17" s="67"/>
      <c r="O17" s="67"/>
    </row>
    <row r="18" spans="1:16" s="67" customFormat="1" ht="18" customHeight="1" x14ac:dyDescent="0.3">
      <c r="A18" s="72"/>
      <c r="B18" s="72"/>
      <c r="C18" s="68"/>
      <c r="D18" s="72"/>
      <c r="E18" s="73" t="str">
        <f>'Valitut tuet'!F15</f>
        <v>Teuraspalkkio (€/eläin)</v>
      </c>
      <c r="F18" s="74"/>
      <c r="G18" s="74"/>
      <c r="H18" s="75"/>
      <c r="I18" s="134">
        <f ca="1">'Valitut tuet'!M15</f>
        <v>0</v>
      </c>
      <c r="J18" s="76"/>
      <c r="K18" s="57"/>
      <c r="L18" s="76"/>
      <c r="M18" s="72"/>
      <c r="N18" s="72"/>
      <c r="O18" s="72"/>
      <c r="P18" s="77"/>
    </row>
    <row r="19" spans="1:16" s="67" customFormat="1" ht="18" customHeight="1" thickBot="1" x14ac:dyDescent="0.35">
      <c r="D19" s="78"/>
      <c r="E19" s="79" t="str">
        <f>'Valitut tuet'!F16</f>
        <v>Kansallinen kotieläintuki (6kk-alle 20kk )€/ey/vuosi</v>
      </c>
      <c r="F19" s="80"/>
      <c r="G19" s="80"/>
      <c r="H19" s="81"/>
      <c r="I19" s="135">
        <f ca="1">'Valitut tuet'!M16</f>
        <v>0</v>
      </c>
      <c r="J19" s="82"/>
      <c r="K19" s="57"/>
      <c r="L19" s="82"/>
      <c r="M19" s="82"/>
      <c r="N19" s="82"/>
      <c r="O19" s="83"/>
    </row>
    <row r="20" spans="1:16" s="67" customFormat="1" ht="18" customHeight="1" thickBot="1" x14ac:dyDescent="0.35">
      <c r="D20" s="78"/>
      <c r="E20" s="498" t="str">
        <f>'Valitut tuet'!B17</f>
        <v xml:space="preserve"> Hyvinvointikorvaukset</v>
      </c>
      <c r="F20" s="85"/>
      <c r="G20" s="85"/>
      <c r="H20" s="86" t="s">
        <v>43</v>
      </c>
      <c r="I20" s="136">
        <f ca="1">'Valitut tuet'!M17</f>
        <v>0</v>
      </c>
      <c r="J20" s="82"/>
      <c r="K20" s="57"/>
      <c r="L20" s="87"/>
      <c r="M20" s="82"/>
      <c r="N20" s="82"/>
      <c r="O20" s="83"/>
    </row>
    <row r="21" spans="1:16" s="67" customFormat="1" ht="18" customHeight="1" thickBot="1" x14ac:dyDescent="0.35">
      <c r="D21" s="78"/>
      <c r="E21" s="88" t="str">
        <f>'Valitut tuet'!F18</f>
        <v>1. NAUDAT (6kk -4v): Ruokinta ja hoito €/ey/vuosi</v>
      </c>
      <c r="F21" s="89"/>
      <c r="G21" s="89"/>
      <c r="H21" s="90"/>
      <c r="I21" s="137">
        <f ca="1">'Valitut tuet'!M18</f>
        <v>0</v>
      </c>
      <c r="J21" s="82"/>
      <c r="K21" s="57"/>
      <c r="L21" s="82"/>
      <c r="M21" s="82"/>
      <c r="N21" s="82"/>
      <c r="O21" s="83"/>
    </row>
    <row r="22" spans="1:16" s="67" customFormat="1" ht="18" customHeight="1" x14ac:dyDescent="0.3">
      <c r="C22" s="91"/>
      <c r="E22" s="70" t="str">
        <f>'Valitut tuet'!F19</f>
        <v>2 a. Vasikoiden pito-olosuhteiden parantaminen I € /ey/v</v>
      </c>
      <c r="F22" s="92"/>
      <c r="G22" s="92"/>
      <c r="H22" s="93"/>
      <c r="I22" s="133">
        <f ca="1">'Valitut tuet'!M19</f>
        <v>0</v>
      </c>
      <c r="J22" s="94"/>
      <c r="K22" s="57"/>
      <c r="L22" s="94"/>
      <c r="M22" s="94"/>
      <c r="N22" s="94"/>
      <c r="O22" s="95"/>
    </row>
    <row r="23" spans="1:16" s="67" customFormat="1" ht="18" customHeight="1" thickBot="1" x14ac:dyDescent="0.35">
      <c r="D23" s="78"/>
      <c r="E23" s="79" t="str">
        <f>'Valitut tuet'!F20</f>
        <v>2 b. Vasikoiden pito-olosuhteiden parantaminen II €/ey/v</v>
      </c>
      <c r="F23" s="80"/>
      <c r="G23" s="80"/>
      <c r="H23" s="81"/>
      <c r="I23" s="135">
        <f ca="1">'Valitut tuet'!M20</f>
        <v>0</v>
      </c>
      <c r="J23" s="82"/>
      <c r="K23" s="57"/>
      <c r="L23" s="82"/>
      <c r="M23" s="82"/>
      <c r="N23" s="82"/>
      <c r="O23" s="83"/>
    </row>
    <row r="24" spans="1:16" s="67" customFormat="1" ht="18" customHeight="1" x14ac:dyDescent="0.3">
      <c r="B24" s="96"/>
      <c r="D24" s="78"/>
      <c r="E24" s="97" t="str">
        <f>'Valitut tuet'!F21</f>
        <v>3 a. Väh. 6kk nautojen pito-olosuhteiden parantaminen €/ey/v</v>
      </c>
      <c r="F24" s="98"/>
      <c r="G24" s="98"/>
      <c r="H24" s="99"/>
      <c r="I24" s="138">
        <f ca="1">'Valitut tuet'!M21</f>
        <v>0</v>
      </c>
      <c r="J24" s="82"/>
      <c r="K24" s="57"/>
      <c r="L24" s="82"/>
      <c r="M24" s="82"/>
      <c r="N24" s="82"/>
      <c r="O24" s="83"/>
    </row>
    <row r="25" spans="1:16" s="67" customFormat="1" ht="18" customHeight="1" thickBot="1" x14ac:dyDescent="0.35">
      <c r="B25" s="91"/>
      <c r="D25" s="78"/>
      <c r="E25" s="79" t="str">
        <f>'Valitut tuet'!F22</f>
        <v>3 b. Väh. 12kk sonnien pito-olosuhteiden parantaminen €/ey/v</v>
      </c>
      <c r="F25" s="80"/>
      <c r="G25" s="80"/>
      <c r="H25" s="81"/>
      <c r="I25" s="135">
        <f ca="1">'Valitut tuet'!M22</f>
        <v>0</v>
      </c>
      <c r="J25" s="82"/>
      <c r="K25" s="57"/>
      <c r="L25" s="82"/>
      <c r="M25" s="82"/>
      <c r="N25" s="82"/>
      <c r="O25" s="83"/>
    </row>
    <row r="26" spans="1:16" s="67" customFormat="1" ht="18" customHeight="1" x14ac:dyDescent="0.3">
      <c r="B26" s="91"/>
      <c r="D26" s="78"/>
      <c r="E26" s="73" t="str">
        <f>'Valitut tuet'!F23</f>
        <v>4 a. Väh. 6kk Laidunnus laidunkaudella ja jaloittelu muu aika €/ey/v</v>
      </c>
      <c r="F26" s="100"/>
      <c r="G26" s="100"/>
      <c r="H26" s="101"/>
      <c r="I26" s="134">
        <f ca="1">'Valitut tuet'!M23</f>
        <v>0</v>
      </c>
      <c r="J26" s="82"/>
      <c r="K26" s="57"/>
      <c r="L26" s="82"/>
      <c r="M26" s="82"/>
      <c r="N26" s="82"/>
      <c r="O26" s="83"/>
    </row>
    <row r="27" spans="1:16" s="67" customFormat="1" ht="18" customHeight="1" thickBot="1" x14ac:dyDescent="0.35">
      <c r="B27" s="91"/>
      <c r="D27" s="78"/>
      <c r="E27" s="79" t="str">
        <f>'Valitut tuet'!F24</f>
        <v>4 b. Väh. 6kk Pitkäaikaisempi laidunnus laidunkaudella €/ey/v</v>
      </c>
      <c r="F27" s="80"/>
      <c r="G27" s="80"/>
      <c r="H27" s="81"/>
      <c r="I27" s="135">
        <f ca="1">'Valitut tuet'!M24</f>
        <v>0</v>
      </c>
      <c r="J27" s="82"/>
      <c r="K27" s="57"/>
      <c r="L27" s="82"/>
      <c r="M27" s="82"/>
      <c r="N27" s="82"/>
      <c r="O27" s="83"/>
    </row>
    <row r="28" spans="1:16" s="67" customFormat="1" ht="18" customHeight="1" thickBot="1" x14ac:dyDescent="0.35">
      <c r="B28" s="91"/>
      <c r="D28" s="78"/>
      <c r="E28" s="79" t="str">
        <f>'Valitut tuet'!F25</f>
        <v>5. Lihanautojen sairas- hoito- ja poikimakarsinat €/ey/v</v>
      </c>
      <c r="F28" s="80"/>
      <c r="G28" s="80"/>
      <c r="H28" s="81"/>
      <c r="I28" s="135">
        <f ca="1">'Valitut tuet'!M25</f>
        <v>0</v>
      </c>
      <c r="J28" s="82"/>
      <c r="K28" s="57"/>
      <c r="L28" s="82"/>
      <c r="M28" s="82"/>
      <c r="N28" s="82"/>
      <c r="O28" s="83"/>
    </row>
    <row r="29" spans="1:16" s="67" customFormat="1" ht="18" customHeight="1" x14ac:dyDescent="0.3">
      <c r="B29" s="91"/>
      <c r="D29" s="78"/>
      <c r="E29" s="102"/>
      <c r="F29" s="85"/>
      <c r="G29" s="85"/>
      <c r="H29" s="86" t="s">
        <v>150</v>
      </c>
      <c r="I29" s="103">
        <f ca="1">'Valitut tuet'!M26</f>
        <v>0</v>
      </c>
      <c r="J29" s="82"/>
      <c r="K29" s="57"/>
      <c r="L29" s="82"/>
      <c r="M29" s="82"/>
      <c r="N29" s="82"/>
      <c r="O29" s="83"/>
    </row>
    <row r="30" spans="1:16" s="67" customFormat="1" ht="17.25" thickBot="1" x14ac:dyDescent="0.35">
      <c r="B30" s="91"/>
      <c r="D30" s="78"/>
      <c r="E30" s="102"/>
      <c r="F30" s="85"/>
      <c r="G30" s="85"/>
      <c r="H30" s="86" t="s">
        <v>44</v>
      </c>
      <c r="I30" s="104">
        <f ca="1">I20+I29</f>
        <v>0</v>
      </c>
      <c r="J30" s="82"/>
      <c r="K30" s="82"/>
      <c r="L30" s="82"/>
      <c r="M30" s="82"/>
      <c r="N30" s="82"/>
      <c r="O30" s="83"/>
    </row>
    <row r="31" spans="1:16" s="67" customFormat="1" ht="15.75" thickTop="1" x14ac:dyDescent="0.25">
      <c r="E31" s="105"/>
      <c r="J31" s="106"/>
      <c r="K31" s="106"/>
      <c r="L31" s="106"/>
      <c r="M31" s="84"/>
      <c r="N31" s="84"/>
      <c r="O31" s="103"/>
    </row>
    <row r="32" spans="1:16" s="67" customFormat="1" x14ac:dyDescent="0.25">
      <c r="E32" s="105"/>
      <c r="I32" s="107"/>
      <c r="M32" s="84"/>
      <c r="N32" s="84"/>
      <c r="O32" s="103"/>
    </row>
    <row r="33" spans="5:19" s="67" customFormat="1" x14ac:dyDescent="0.25">
      <c r="E33" s="105"/>
    </row>
    <row r="34" spans="5:19" s="67" customFormat="1" x14ac:dyDescent="0.25">
      <c r="E34" s="105"/>
      <c r="S34" s="108"/>
    </row>
    <row r="35" spans="5:19" s="67" customFormat="1" x14ac:dyDescent="0.25">
      <c r="F35" s="107"/>
      <c r="G35" s="107"/>
      <c r="H35" s="107"/>
      <c r="I35" s="107"/>
      <c r="J35" s="107"/>
      <c r="K35" s="107"/>
      <c r="L35" s="107"/>
      <c r="M35" s="107"/>
      <c r="N35" s="107"/>
      <c r="O35" s="107"/>
      <c r="P35" s="107"/>
      <c r="Q35" s="107"/>
      <c r="R35" s="107"/>
    </row>
    <row r="36" spans="5:19" s="67" customFormat="1" x14ac:dyDescent="0.25">
      <c r="F36" s="108"/>
      <c r="G36" s="108"/>
      <c r="H36" s="108"/>
      <c r="I36" s="108"/>
      <c r="J36" s="108"/>
      <c r="K36" s="108"/>
      <c r="L36" s="108"/>
      <c r="M36" s="108"/>
      <c r="N36" s="108"/>
      <c r="O36" s="108"/>
      <c r="P36" s="108"/>
      <c r="Q36" s="108"/>
      <c r="R36" s="108"/>
    </row>
    <row r="37" spans="5:19" s="67" customFormat="1" x14ac:dyDescent="0.25"/>
    <row r="38" spans="5:19" s="67" customFormat="1" x14ac:dyDescent="0.25">
      <c r="F38" s="108"/>
      <c r="G38" s="108"/>
      <c r="H38" s="108"/>
      <c r="I38" s="108"/>
      <c r="J38" s="108"/>
      <c r="K38" s="108"/>
      <c r="L38" s="108"/>
      <c r="M38" s="108"/>
      <c r="N38" s="108"/>
      <c r="O38" s="108"/>
      <c r="P38" s="108"/>
      <c r="Q38" s="108"/>
      <c r="R38" s="108"/>
    </row>
    <row r="39" spans="5:19" s="67" customFormat="1" x14ac:dyDescent="0.25">
      <c r="F39" s="109"/>
      <c r="G39" s="109"/>
      <c r="H39" s="109"/>
      <c r="I39" s="109"/>
      <c r="J39" s="109"/>
      <c r="K39" s="109"/>
      <c r="L39" s="109"/>
      <c r="M39" s="109"/>
      <c r="N39" s="109"/>
      <c r="O39" s="109"/>
      <c r="P39" s="109"/>
      <c r="Q39" s="109"/>
      <c r="R39" s="109"/>
    </row>
    <row r="40" spans="5:19" s="67" customFormat="1" x14ac:dyDescent="0.25"/>
    <row r="44" spans="5:19" x14ac:dyDescent="0.25">
      <c r="J44" s="60"/>
    </row>
    <row r="56" spans="6:16" ht="207" customHeight="1" x14ac:dyDescent="0.25"/>
    <row r="60" spans="6:16" ht="8.4499999999999993" customHeight="1" x14ac:dyDescent="0.25"/>
    <row r="61" spans="6:16" ht="33.75" customHeight="1" x14ac:dyDescent="0.25"/>
    <row r="62" spans="6:16" s="110" customFormat="1" ht="1.5" customHeight="1" x14ac:dyDescent="0.25">
      <c r="I62" s="111">
        <v>0.4</v>
      </c>
      <c r="J62" s="111">
        <v>0.6</v>
      </c>
      <c r="K62" s="111">
        <v>0.6</v>
      </c>
      <c r="L62" s="111">
        <v>0.6</v>
      </c>
      <c r="M62" s="111">
        <v>1</v>
      </c>
      <c r="N62" s="111"/>
    </row>
    <row r="63" spans="6:16" s="110" customFormat="1" ht="1.5" customHeight="1" x14ac:dyDescent="0.3">
      <c r="I63" s="139" t="str">
        <f>'Valitut tuet'!K5</f>
        <v xml:space="preserve">  alle 6kk </v>
      </c>
      <c r="J63" s="139" t="str">
        <f>'Valitut tuet'!K6</f>
        <v xml:space="preserve">   6kk-alle 12kk</v>
      </c>
      <c r="K63" s="139" t="str">
        <f>'Valitut tuet'!K7</f>
        <v xml:space="preserve">   12kk -alle 20 kk </v>
      </c>
      <c r="L63" s="139" t="str">
        <f>'Valitut tuet'!K8</f>
        <v xml:space="preserve"> 20kk- alle 24kk </v>
      </c>
      <c r="M63" s="139" t="str">
        <f>'Valitut tuet'!K9</f>
        <v xml:space="preserve">   yli 24kk</v>
      </c>
    </row>
    <row r="64" spans="6:16" s="110" customFormat="1" ht="1.5" customHeight="1" x14ac:dyDescent="0.25">
      <c r="F64" s="112"/>
      <c r="G64" s="112"/>
      <c r="H64" s="113">
        <f>F50</f>
        <v>0</v>
      </c>
      <c r="I64" s="113">
        <f>'Valitut tuet'!M5</f>
        <v>0</v>
      </c>
      <c r="J64" s="113">
        <f>'Valitut tuet'!M6</f>
        <v>0</v>
      </c>
      <c r="K64" s="113">
        <f>'Valitut tuet'!M7</f>
        <v>0</v>
      </c>
      <c r="L64" s="113">
        <f>'Valitut tuet'!M8</f>
        <v>0</v>
      </c>
      <c r="M64" s="113">
        <f>'Valitut tuet'!M9</f>
        <v>0</v>
      </c>
      <c r="N64" s="113" t="s">
        <v>45</v>
      </c>
      <c r="O64" s="110" t="s">
        <v>46</v>
      </c>
      <c r="P64" s="114" t="s">
        <v>47</v>
      </c>
    </row>
    <row r="65" spans="5:16" s="110" customFormat="1" ht="1.5" customHeight="1" x14ac:dyDescent="0.25">
      <c r="E65" s="110" t="s">
        <v>48</v>
      </c>
      <c r="F65" s="112" t="s">
        <v>49</v>
      </c>
      <c r="G65" s="112" t="s">
        <v>50</v>
      </c>
      <c r="H65" s="113">
        <f>F48</f>
        <v>0</v>
      </c>
      <c r="I65" s="113">
        <f>I64</f>
        <v>0</v>
      </c>
      <c r="J65" s="113">
        <f>I64+J64</f>
        <v>0</v>
      </c>
      <c r="K65" s="113">
        <f>J65+K64</f>
        <v>0</v>
      </c>
      <c r="L65" s="113">
        <f>K65+L64</f>
        <v>0</v>
      </c>
      <c r="M65" s="113">
        <f>L65+M64</f>
        <v>0</v>
      </c>
      <c r="N65" s="113" t="s">
        <v>51</v>
      </c>
      <c r="O65" s="110" t="s">
        <v>52</v>
      </c>
      <c r="P65" s="110" t="s">
        <v>53</v>
      </c>
    </row>
    <row r="66" spans="5:16" s="110" customFormat="1" ht="1.5" customHeight="1" x14ac:dyDescent="0.25">
      <c r="E66" s="110">
        <f>'Valitut tuet'!E14</f>
        <v>0</v>
      </c>
      <c r="F66" s="110" t="str">
        <f>'Valitut tuet'!F14</f>
        <v>Eu-nautapalkkio (6kk-alle 20kk) (€/eläin/tukivuosi)</v>
      </c>
      <c r="G66" s="115">
        <f ca="1">'Valitut tuet'!H14</f>
        <v>160</v>
      </c>
      <c r="H66" s="116">
        <f>0</f>
        <v>0</v>
      </c>
      <c r="I66" s="116">
        <v>0</v>
      </c>
      <c r="J66" s="140">
        <f ca="1">J$64*$G66/365+I66</f>
        <v>0</v>
      </c>
      <c r="K66" s="140">
        <f ca="1">K$64*$G66/365+J66</f>
        <v>0</v>
      </c>
      <c r="L66" s="140"/>
      <c r="M66" s="140"/>
      <c r="N66" s="140">
        <f ca="1">MAX(J66:M66)</f>
        <v>0</v>
      </c>
      <c r="O66" s="141">
        <f ca="1">'Valitut tuet'!M14</f>
        <v>0</v>
      </c>
      <c r="P66" s="117">
        <f ca="1">O66-N66</f>
        <v>0</v>
      </c>
    </row>
    <row r="67" spans="5:16" s="110" customFormat="1" ht="1.5" customHeight="1" x14ac:dyDescent="0.25">
      <c r="E67" s="110">
        <f>'Valitut tuet'!E15</f>
        <v>0</v>
      </c>
      <c r="F67" s="110" t="str">
        <f>'Valitut tuet'!F15</f>
        <v>Teuraspalkkio (€/eläin)</v>
      </c>
      <c r="G67" s="115">
        <f ca="1">'Valitut tuet'!H15</f>
        <v>0</v>
      </c>
      <c r="H67" s="116"/>
      <c r="I67" s="116"/>
      <c r="J67" s="140"/>
      <c r="K67" s="140"/>
      <c r="L67" s="140"/>
      <c r="M67" s="140"/>
      <c r="N67" s="140">
        <f>MAX(J67:M67)</f>
        <v>0</v>
      </c>
      <c r="O67" s="141">
        <f ca="1">'Valitut tuet'!M15</f>
        <v>0</v>
      </c>
      <c r="P67" s="117">
        <f ca="1">O67-M67</f>
        <v>0</v>
      </c>
    </row>
    <row r="68" spans="5:16" s="110" customFormat="1" ht="1.5" customHeight="1" x14ac:dyDescent="0.25">
      <c r="E68" s="110">
        <f>'Valitut tuet'!E16</f>
        <v>0</v>
      </c>
      <c r="F68" s="110" t="str">
        <f>'Valitut tuet'!F16</f>
        <v>Kansallinen kotieläintuki (6kk-alle 20kk )€/ey/vuosi</v>
      </c>
      <c r="G68" s="115">
        <f ca="1">'Valitut tuet'!H16*'Valitut tuet'!G16</f>
        <v>567</v>
      </c>
      <c r="H68" s="116"/>
      <c r="I68" s="116">
        <v>0</v>
      </c>
      <c r="J68" s="140">
        <f ca="1">(J$64*J$62*$G68/365+I68)*E68</f>
        <v>0</v>
      </c>
      <c r="K68" s="140">
        <f ca="1">(K$64*K$62*$G68/365+J68)*E68</f>
        <v>0</v>
      </c>
      <c r="L68" s="140"/>
      <c r="M68" s="140"/>
      <c r="N68" s="140">
        <f ca="1">MAX(I68:M68)</f>
        <v>0</v>
      </c>
      <c r="O68" s="141">
        <f ca="1">'Valitut tuet'!M16</f>
        <v>0</v>
      </c>
      <c r="P68" s="117">
        <f ca="1">O68-N68</f>
        <v>0</v>
      </c>
    </row>
    <row r="69" spans="5:16" s="110" customFormat="1" ht="1.5" customHeight="1" x14ac:dyDescent="0.25">
      <c r="E69" s="110">
        <f>'Valitut tuet'!E18</f>
        <v>0</v>
      </c>
      <c r="F69" s="110" t="str">
        <f>'Valitut tuet'!F18</f>
        <v>1. NAUDAT (6kk -4v): Ruokinta ja hoito €/ey/vuosi</v>
      </c>
      <c r="G69" s="115">
        <f ca="1">'Valitut tuet'!H18</f>
        <v>11</v>
      </c>
      <c r="H69" s="116"/>
      <c r="I69" s="116">
        <v>0</v>
      </c>
      <c r="J69" s="140">
        <f ca="1">(J$64*J$62*$G69/365+I69)*$E69</f>
        <v>0</v>
      </c>
      <c r="K69" s="140">
        <f ca="1">(K$64*K$62*$G69/365+J69)*$E69</f>
        <v>0</v>
      </c>
      <c r="L69" s="140">
        <f ca="1">(L$64*L$62*$G69/365+K69)*$E69</f>
        <v>0</v>
      </c>
      <c r="M69" s="140">
        <f ca="1">(M$64*M$62*$G69/365+L69)*$E69</f>
        <v>0</v>
      </c>
      <c r="N69" s="140">
        <f t="shared" ref="N69:N77" ca="1" si="0">MAX(I69:M69)</f>
        <v>0</v>
      </c>
      <c r="O69" s="141">
        <f ca="1">'Valitut tuet'!M18</f>
        <v>0</v>
      </c>
      <c r="P69" s="117">
        <f ca="1">O69-N69</f>
        <v>0</v>
      </c>
    </row>
    <row r="70" spans="5:16" s="110" customFormat="1" ht="1.5" customHeight="1" x14ac:dyDescent="0.25">
      <c r="E70" s="110">
        <f>'Valitut tuet'!E19</f>
        <v>0</v>
      </c>
      <c r="F70" s="110" t="str">
        <f>'Valitut tuet'!F19</f>
        <v>2 a. Vasikoiden pito-olosuhteiden parantaminen I € /ey/v</v>
      </c>
      <c r="G70" s="115">
        <f ca="1">'Valitut tuet'!H19</f>
        <v>439</v>
      </c>
      <c r="H70" s="116">
        <f>0</f>
        <v>0</v>
      </c>
      <c r="I70" s="116">
        <f ca="1">(I$64*I$62*$G70/365)*E70</f>
        <v>0</v>
      </c>
      <c r="J70" s="140"/>
      <c r="K70" s="140"/>
      <c r="L70" s="140"/>
      <c r="M70" s="140"/>
      <c r="N70" s="140">
        <f t="shared" ca="1" si="0"/>
        <v>0</v>
      </c>
      <c r="O70" s="141">
        <f ca="1">'Valitut tuet'!M19</f>
        <v>0</v>
      </c>
      <c r="P70" s="117">
        <f t="shared" ref="P70:P77" ca="1" si="1">O70-N70</f>
        <v>0</v>
      </c>
    </row>
    <row r="71" spans="5:16" s="110" customFormat="1" ht="1.5" customHeight="1" x14ac:dyDescent="0.25">
      <c r="E71" s="110">
        <f>'Valitut tuet'!E20</f>
        <v>0</v>
      </c>
      <c r="F71" s="110" t="str">
        <f>'Valitut tuet'!F20</f>
        <v>2 b. Vasikoiden pito-olosuhteiden parantaminen II €/ey/v</v>
      </c>
      <c r="G71" s="115">
        <f ca="1">'Valitut tuet'!H20</f>
        <v>292</v>
      </c>
      <c r="H71" s="116">
        <f>0</f>
        <v>0</v>
      </c>
      <c r="I71" s="116">
        <f ca="1">(I$64*I$62*$G71/365)*E71</f>
        <v>0</v>
      </c>
      <c r="J71" s="140"/>
      <c r="K71" s="140"/>
      <c r="L71" s="140"/>
      <c r="M71" s="140"/>
      <c r="N71" s="140">
        <f t="shared" ca="1" si="0"/>
        <v>0</v>
      </c>
      <c r="O71" s="141">
        <f ca="1">'Valitut tuet'!M20</f>
        <v>0</v>
      </c>
      <c r="P71" s="117">
        <f t="shared" ca="1" si="1"/>
        <v>0</v>
      </c>
    </row>
    <row r="72" spans="5:16" s="110" customFormat="1" ht="1.5" customHeight="1" x14ac:dyDescent="0.25">
      <c r="E72" s="110">
        <f>'Valitut tuet'!E21</f>
        <v>0</v>
      </c>
      <c r="F72" s="110" t="str">
        <f>'Valitut tuet'!F21</f>
        <v>3 a. Väh. 6kk nautojen pito-olosuhteiden parantaminen €/ey/v</v>
      </c>
      <c r="G72" s="115">
        <f ca="1">'Valitut tuet'!H21</f>
        <v>43</v>
      </c>
      <c r="H72" s="116"/>
      <c r="I72" s="116">
        <v>0</v>
      </c>
      <c r="J72" s="140">
        <f t="shared" ref="J72:M76" ca="1" si="2">(J$64*J$62*$G72/365+I72)*$E72</f>
        <v>0</v>
      </c>
      <c r="K72" s="140">
        <f t="shared" ca="1" si="2"/>
        <v>0</v>
      </c>
      <c r="L72" s="140">
        <f t="shared" ca="1" si="2"/>
        <v>0</v>
      </c>
      <c r="M72" s="140">
        <f t="shared" ca="1" si="2"/>
        <v>0</v>
      </c>
      <c r="N72" s="140">
        <f t="shared" ca="1" si="0"/>
        <v>0</v>
      </c>
      <c r="O72" s="141">
        <f ca="1">'Valitut tuet'!M21</f>
        <v>0</v>
      </c>
      <c r="P72" s="117">
        <f t="shared" ca="1" si="1"/>
        <v>0</v>
      </c>
    </row>
    <row r="73" spans="5:16" s="110" customFormat="1" ht="1.5" customHeight="1" x14ac:dyDescent="0.25">
      <c r="E73" s="110">
        <f>'Valitut tuet'!E22</f>
        <v>0</v>
      </c>
      <c r="F73" s="110" t="str">
        <f>'Valitut tuet'!F22</f>
        <v>3 b. Väh. 12kk sonnien pito-olosuhteiden parantaminen €/ey/v</v>
      </c>
      <c r="G73" s="115">
        <f ca="1">'Valitut tuet'!H22</f>
        <v>126</v>
      </c>
      <c r="H73" s="116"/>
      <c r="I73" s="116"/>
      <c r="J73" s="140">
        <v>0</v>
      </c>
      <c r="K73" s="140">
        <f t="shared" ca="1" si="2"/>
        <v>0</v>
      </c>
      <c r="L73" s="140">
        <f t="shared" ca="1" si="2"/>
        <v>0</v>
      </c>
      <c r="M73" s="140">
        <f t="shared" ca="1" si="2"/>
        <v>0</v>
      </c>
      <c r="N73" s="140">
        <f t="shared" ca="1" si="0"/>
        <v>0</v>
      </c>
      <c r="O73" s="141">
        <f ca="1">'Valitut tuet'!M22</f>
        <v>0</v>
      </c>
      <c r="P73" s="117">
        <f t="shared" ca="1" si="1"/>
        <v>0</v>
      </c>
    </row>
    <row r="74" spans="5:16" s="110" customFormat="1" ht="1.5" customHeight="1" x14ac:dyDescent="0.25">
      <c r="E74" s="110">
        <f>'Valitut tuet'!E23</f>
        <v>0</v>
      </c>
      <c r="F74" s="110" t="str">
        <f>'Valitut tuet'!F23</f>
        <v>4 a. Väh. 6kk Laidunnus laidunkaudella ja jaloittelu muu aika €/ey/v</v>
      </c>
      <c r="G74" s="115">
        <f ca="1">'Valitut tuet'!H23</f>
        <v>46</v>
      </c>
      <c r="H74" s="116"/>
      <c r="I74" s="116">
        <v>0</v>
      </c>
      <c r="J74" s="140">
        <f t="shared" ca="1" si="2"/>
        <v>0</v>
      </c>
      <c r="K74" s="140">
        <f t="shared" ca="1" si="2"/>
        <v>0</v>
      </c>
      <c r="L74" s="140">
        <f t="shared" ca="1" si="2"/>
        <v>0</v>
      </c>
      <c r="M74" s="140">
        <f t="shared" ca="1" si="2"/>
        <v>0</v>
      </c>
      <c r="N74" s="140">
        <f t="shared" ca="1" si="0"/>
        <v>0</v>
      </c>
      <c r="O74" s="141">
        <f ca="1">'Valitut tuet'!M23</f>
        <v>0</v>
      </c>
      <c r="P74" s="117">
        <f t="shared" ca="1" si="1"/>
        <v>0</v>
      </c>
    </row>
    <row r="75" spans="5:16" s="110" customFormat="1" ht="1.5" customHeight="1" x14ac:dyDescent="0.25">
      <c r="E75" s="110">
        <f>'Valitut tuet'!E24</f>
        <v>0</v>
      </c>
      <c r="F75" s="110" t="str">
        <f>'Valitut tuet'!F24</f>
        <v>4 b. Väh. 6kk Pitkäaikaisempi laidunnus laidunkaudella €/ey/v</v>
      </c>
      <c r="G75" s="115">
        <f ca="1">'Valitut tuet'!H24</f>
        <v>24</v>
      </c>
      <c r="H75" s="116"/>
      <c r="I75" s="116">
        <v>0</v>
      </c>
      <c r="J75" s="140">
        <f t="shared" ca="1" si="2"/>
        <v>0</v>
      </c>
      <c r="K75" s="140">
        <f t="shared" ca="1" si="2"/>
        <v>0</v>
      </c>
      <c r="L75" s="140">
        <f t="shared" ca="1" si="2"/>
        <v>0</v>
      </c>
      <c r="M75" s="140">
        <f t="shared" ca="1" si="2"/>
        <v>0</v>
      </c>
      <c r="N75" s="140">
        <f t="shared" ca="1" si="0"/>
        <v>0</v>
      </c>
      <c r="O75" s="141">
        <f ca="1">'Valitut tuet'!M24</f>
        <v>0</v>
      </c>
      <c r="P75" s="117">
        <f t="shared" ca="1" si="1"/>
        <v>0</v>
      </c>
    </row>
    <row r="76" spans="5:16" s="110" customFormat="1" ht="1.5" customHeight="1" x14ac:dyDescent="0.25">
      <c r="E76" s="110">
        <f>'Valitut tuet'!E25</f>
        <v>0</v>
      </c>
      <c r="F76" s="110" t="str">
        <f>'Valitut tuet'!F25</f>
        <v>5. Lihanautojen sairas- hoito- ja poikimakarsinat €/ey/v</v>
      </c>
      <c r="G76" s="115">
        <f ca="1">'Valitut tuet'!H25</f>
        <v>15</v>
      </c>
      <c r="H76" s="116">
        <f>0</f>
        <v>0</v>
      </c>
      <c r="I76" s="116">
        <f ca="1">(I$64*I$62*$G76/365+H76)*E76</f>
        <v>0</v>
      </c>
      <c r="J76" s="140">
        <f t="shared" ca="1" si="2"/>
        <v>0</v>
      </c>
      <c r="K76" s="140">
        <f t="shared" ca="1" si="2"/>
        <v>0</v>
      </c>
      <c r="L76" s="140">
        <f t="shared" ca="1" si="2"/>
        <v>0</v>
      </c>
      <c r="M76" s="140">
        <f t="shared" ca="1" si="2"/>
        <v>0</v>
      </c>
      <c r="N76" s="140">
        <f t="shared" ca="1" si="0"/>
        <v>0</v>
      </c>
      <c r="O76" s="141">
        <f ca="1">'Valitut tuet'!M25</f>
        <v>0</v>
      </c>
      <c r="P76" s="117">
        <f t="shared" ca="1" si="1"/>
        <v>0</v>
      </c>
    </row>
    <row r="77" spans="5:16" s="110" customFormat="1" ht="1.5" customHeight="1" x14ac:dyDescent="0.25">
      <c r="F77" s="112" t="s">
        <v>54</v>
      </c>
      <c r="G77" s="112"/>
      <c r="H77" s="118">
        <f>SUM(H66:H76)</f>
        <v>0</v>
      </c>
      <c r="I77" s="118">
        <f ca="1">SUM(I66:I76)</f>
        <v>0</v>
      </c>
      <c r="J77" s="142">
        <f ca="1">SUM(J66:J76)</f>
        <v>0</v>
      </c>
      <c r="K77" s="142">
        <f ca="1">SUM(K66:K76)</f>
        <v>0</v>
      </c>
      <c r="L77" s="142">
        <f ca="1">SUM(L66:L76)+N66+N68</f>
        <v>0</v>
      </c>
      <c r="M77" s="142">
        <f ca="1">SUM(M66:M76)+N66+N68+N70+N71</f>
        <v>0</v>
      </c>
      <c r="N77" s="140">
        <f t="shared" ca="1" si="0"/>
        <v>0</v>
      </c>
      <c r="O77" s="140">
        <f ca="1">SUM(O66:O76)</f>
        <v>0</v>
      </c>
      <c r="P77" s="117">
        <f t="shared" ca="1" si="1"/>
        <v>0</v>
      </c>
    </row>
    <row r="78" spans="5:16" s="110" customFormat="1" ht="1.5" customHeight="1" x14ac:dyDescent="0.25">
      <c r="I78" s="144"/>
    </row>
    <row r="79" spans="5:16" s="145" customFormat="1" ht="1.5" customHeight="1" x14ac:dyDescent="0.25"/>
    <row r="80" spans="5:16" s="145" customFormat="1" ht="1.5" customHeight="1" x14ac:dyDescent="0.25"/>
    <row r="81" s="143" customFormat="1" x14ac:dyDescent="0.25"/>
    <row r="82" s="143" customFormat="1" x14ac:dyDescent="0.25"/>
    <row r="83" s="143" customFormat="1" x14ac:dyDescent="0.25"/>
    <row r="84" s="143" customFormat="1" x14ac:dyDescent="0.25"/>
    <row r="85" s="143" customFormat="1" x14ac:dyDescent="0.25"/>
    <row r="86" s="143" customFormat="1" x14ac:dyDescent="0.25"/>
    <row r="87" s="143" customFormat="1" x14ac:dyDescent="0.25"/>
    <row r="88" s="143" customFormat="1" x14ac:dyDescent="0.25"/>
    <row r="89" s="143" customFormat="1" x14ac:dyDescent="0.25"/>
    <row r="90" s="143" customFormat="1" x14ac:dyDescent="0.25"/>
    <row r="91" s="143" customFormat="1" x14ac:dyDescent="0.25"/>
  </sheetData>
  <sheetProtection algorithmName="SHA-512" hashValue="Q3tY3hGGKTMDf+BDiHwC3Trk+OdeU2LaQ/54oONT9ifCY/o7OxQNSvoicottpgJ1Y9FYcH4YMivYknThA458jg==" saltValue="nzY42U0oBFqlAFiSvDHElA==" spinCount="100000" sheet="1" objects="1" scenarios="1" selectLockedCells="1"/>
  <mergeCells count="1">
    <mergeCell ref="G8:H8"/>
  </mergeCells>
  <conditionalFormatting sqref="F19:H19 J19 L19:O19">
    <cfRule type="expression" dxfId="24" priority="25">
      <formula>$E$19=1</formula>
    </cfRule>
  </conditionalFormatting>
  <conditionalFormatting sqref="F23:H23 J23 L23:O23">
    <cfRule type="expression" dxfId="23" priority="24">
      <formula>$E$23=1</formula>
    </cfRule>
  </conditionalFormatting>
  <conditionalFormatting sqref="F24:H24 J24 F26:H26 F28:H28 L24:O24">
    <cfRule type="expression" dxfId="22" priority="23">
      <formula>$E$24=1</formula>
    </cfRule>
  </conditionalFormatting>
  <conditionalFormatting sqref="F20:H20 J20 L20:O20">
    <cfRule type="expression" dxfId="21" priority="22">
      <formula>$E$20=1</formula>
    </cfRule>
  </conditionalFormatting>
  <conditionalFormatting sqref="F25:H25 J25 F27:H27 L25:O25">
    <cfRule type="expression" dxfId="20" priority="21">
      <formula>$E$25=1</formula>
    </cfRule>
  </conditionalFormatting>
  <conditionalFormatting sqref="J28 L28:O28">
    <cfRule type="expression" dxfId="19" priority="20">
      <formula>$E$28=1</formula>
    </cfRule>
  </conditionalFormatting>
  <conditionalFormatting sqref="E29 J29 L29:O29">
    <cfRule type="expression" dxfId="18" priority="19">
      <formula>$E$29=1</formula>
    </cfRule>
  </conditionalFormatting>
  <conditionalFormatting sqref="E30 J30:O30">
    <cfRule type="expression" dxfId="17" priority="18">
      <formula>$E$30=1</formula>
    </cfRule>
  </conditionalFormatting>
  <conditionalFormatting sqref="J26 F29:I29 L26:O26">
    <cfRule type="expression" dxfId="16" priority="17">
      <formula>$E$26=1</formula>
    </cfRule>
  </conditionalFormatting>
  <conditionalFormatting sqref="J27 F30:I30 L27:O27">
    <cfRule type="expression" dxfId="15" priority="16">
      <formula>$E$27=1</formula>
    </cfRule>
  </conditionalFormatting>
  <conditionalFormatting sqref="O20">
    <cfRule type="cellIs" dxfId="14" priority="15" operator="greaterThan">
      <formula>0</formula>
    </cfRule>
  </conditionalFormatting>
  <conditionalFormatting sqref="F21:H21 J21 L21:O21">
    <cfRule type="expression" dxfId="13" priority="14">
      <formula>$E$21=1</formula>
    </cfRule>
  </conditionalFormatting>
  <conditionalFormatting sqref="O21">
    <cfRule type="cellIs" dxfId="12" priority="13" operator="greaterThan">
      <formula>0</formula>
    </cfRule>
  </conditionalFormatting>
  <conditionalFormatting sqref="O19">
    <cfRule type="cellIs" dxfId="11" priority="12" operator="greaterThan">
      <formula>0</formula>
    </cfRule>
  </conditionalFormatting>
  <conditionalFormatting sqref="O23">
    <cfRule type="cellIs" dxfId="10" priority="10" operator="greaterThan">
      <formula>0</formula>
    </cfRule>
    <cfRule type="cellIs" dxfId="9" priority="11" operator="greaterThan">
      <formula>0</formula>
    </cfRule>
  </conditionalFormatting>
  <conditionalFormatting sqref="O24">
    <cfRule type="cellIs" dxfId="8" priority="9" operator="greaterThan">
      <formula>0</formula>
    </cfRule>
  </conditionalFormatting>
  <conditionalFormatting sqref="O25">
    <cfRule type="cellIs" dxfId="7" priority="8" operator="greaterThan">
      <formula>0</formula>
    </cfRule>
  </conditionalFormatting>
  <conditionalFormatting sqref="O26">
    <cfRule type="cellIs" dxfId="6" priority="7" operator="greaterThan">
      <formula>0</formula>
    </cfRule>
  </conditionalFormatting>
  <conditionalFormatting sqref="O28">
    <cfRule type="cellIs" dxfId="5" priority="6" operator="greaterThan">
      <formula>0</formula>
    </cfRule>
  </conditionalFormatting>
  <conditionalFormatting sqref="O29">
    <cfRule type="cellIs" dxfId="4" priority="5" operator="greaterThan">
      <formula>0</formula>
    </cfRule>
  </conditionalFormatting>
  <conditionalFormatting sqref="O30">
    <cfRule type="cellIs" dxfId="3" priority="4" operator="greaterThan">
      <formula>0</formula>
    </cfRule>
  </conditionalFormatting>
  <conditionalFormatting sqref="J31:L31">
    <cfRule type="cellIs" dxfId="2" priority="3" operator="greaterThan">
      <formula>0</formula>
    </cfRule>
  </conditionalFormatting>
  <conditionalFormatting sqref="P4">
    <cfRule type="cellIs" dxfId="1" priority="2" operator="equal">
      <formula>" &lt;=Virheellinen päivämärä!"</formula>
    </cfRule>
  </conditionalFormatting>
  <conditionalFormatting sqref="P5">
    <cfRule type="cellIs" dxfId="0" priority="1" operator="equal">
      <formula>" &lt;=Virheellinen päivämärä!"</formula>
    </cfRule>
  </conditionalFormatting>
  <pageMargins left="0.70866141732283472" right="0.70866141732283472" top="0.74803149606299213" bottom="0.74803149606299213" header="0.31496062992125984" footer="0.31496062992125984"/>
  <pageSetup paperSize="9" scale="60" orientation="portrait" r:id="rId1"/>
  <headerFooter alignWithMargins="0"/>
  <ignoredErrors>
    <ignoredError sqref="G1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Valitut tuet</vt:lpstr>
      <vt:lpstr>Tukitaulukko</vt:lpstr>
      <vt:lpstr>Tukiraportti</vt:lpstr>
      <vt:lpstr>Tukiraportti!Tulostusalue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jyri tuovinen</dc:creator>
  <cp:lastModifiedBy>Seppo Mönkkönen</cp:lastModifiedBy>
  <cp:lastPrinted>2019-03-01T20:56:25Z</cp:lastPrinted>
  <dcterms:created xsi:type="dcterms:W3CDTF">2017-08-21T10:22:28Z</dcterms:created>
  <dcterms:modified xsi:type="dcterms:W3CDTF">2019-03-13T11:15:05Z</dcterms:modified>
</cp:coreProperties>
</file>